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- DILIC\1- COLSETEC 2025\CONCORRENCIA 2025\CARNEIROS\PASTA TECNICA\"/>
    </mc:Choice>
  </mc:AlternateContent>
  <xr:revisionPtr revIDLastSave="0" documentId="13_ncr:1_{4531495A-ED81-419A-8230-783A71BAD548}" xr6:coauthVersionLast="47" xr6:coauthVersionMax="47" xr10:uidLastSave="{00000000-0000-0000-0000-000000000000}"/>
  <bookViews>
    <workbookView xWindow="-120" yWindow="-120" windowWidth="29040" windowHeight="15840" activeTab="4" xr2:uid="{E942D434-052F-443A-865C-04EB528EC80B}"/>
  </bookViews>
  <sheets>
    <sheet name="SEPULTURAS sem material" sheetId="12" r:id="rId1"/>
    <sheet name="CRONOGRAMA FÍSICO-FINANCEIRO" sheetId="14" r:id="rId2"/>
    <sheet name="LOCULOS" sheetId="11" state="hidden" r:id="rId3"/>
    <sheet name="LOCULOS SEM ARDOSIA" sheetId="13" state="hidden" r:id="rId4"/>
    <sheet name="CPU" sheetId="10" r:id="rId5"/>
  </sheets>
  <definedNames>
    <definedName name="_xlnm.Print_Area" localSheetId="4">CPU!$B$1:$H$80</definedName>
    <definedName name="_xlnm.Print_Area" localSheetId="1">'CRONOGRAMA FÍSICO-FINANCEIRO'!$A$2:$CG$31</definedName>
    <definedName name="_xlnm.Print_Area" localSheetId="2">LOCULOS!$B$1:$L$72</definedName>
    <definedName name="_xlnm.Print_Area" localSheetId="3">'LOCULOS SEM ARDOSIA'!$B$1:$L$71</definedName>
    <definedName name="_xlnm.Print_Area" localSheetId="0">'SEPULTURAS sem material'!$B$3:$J$29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F27" i="14" l="1"/>
  <c r="CF26" i="14"/>
  <c r="CF25" i="14"/>
  <c r="CF23" i="14"/>
  <c r="CG23" i="14" s="1"/>
  <c r="CF21" i="14"/>
  <c r="CF19" i="14"/>
  <c r="CF18" i="14"/>
  <c r="CF17" i="14"/>
  <c r="CG17" i="14" s="1"/>
  <c r="CF16" i="14"/>
  <c r="CF15" i="14"/>
  <c r="CF14" i="14"/>
  <c r="CF11" i="14"/>
  <c r="CG11" i="14" s="1"/>
  <c r="CF10" i="14"/>
  <c r="CF9" i="14"/>
  <c r="CD27" i="14"/>
  <c r="CD26" i="14"/>
  <c r="CE26" i="14" s="1"/>
  <c r="CD25" i="14"/>
  <c r="CD23" i="14"/>
  <c r="CD21" i="14"/>
  <c r="CD19" i="14"/>
  <c r="CE19" i="14" s="1"/>
  <c r="CD18" i="14"/>
  <c r="CD17" i="14"/>
  <c r="CD16" i="14"/>
  <c r="CD15" i="14"/>
  <c r="CE15" i="14" s="1"/>
  <c r="CD14" i="14"/>
  <c r="CD11" i="14"/>
  <c r="CD10" i="14"/>
  <c r="CD9" i="14"/>
  <c r="CE9" i="14" s="1"/>
  <c r="CB27" i="14"/>
  <c r="CB26" i="14"/>
  <c r="CB25" i="14"/>
  <c r="CB23" i="14"/>
  <c r="CC23" i="14" s="1"/>
  <c r="CB21" i="14"/>
  <c r="CB19" i="14"/>
  <c r="CB18" i="14"/>
  <c r="CB17" i="14"/>
  <c r="CC17" i="14" s="1"/>
  <c r="CB16" i="14"/>
  <c r="CB15" i="14"/>
  <c r="CB14" i="14"/>
  <c r="CB11" i="14"/>
  <c r="CC11" i="14" s="1"/>
  <c r="CB10" i="14"/>
  <c r="CB9" i="14"/>
  <c r="BZ27" i="14"/>
  <c r="BZ26" i="14"/>
  <c r="CA26" i="14" s="1"/>
  <c r="BZ25" i="14"/>
  <c r="BZ23" i="14"/>
  <c r="BZ21" i="14"/>
  <c r="BZ19" i="14"/>
  <c r="CA19" i="14" s="1"/>
  <c r="BZ18" i="14"/>
  <c r="BZ17" i="14"/>
  <c r="BZ16" i="14"/>
  <c r="BZ15" i="14"/>
  <c r="CA15" i="14" s="1"/>
  <c r="BZ14" i="14"/>
  <c r="BZ11" i="14"/>
  <c r="BZ10" i="14"/>
  <c r="BZ9" i="14"/>
  <c r="CA9" i="14" s="1"/>
  <c r="BX27" i="14"/>
  <c r="BX26" i="14"/>
  <c r="BX25" i="14"/>
  <c r="BX23" i="14"/>
  <c r="BY23" i="14" s="1"/>
  <c r="BX21" i="14"/>
  <c r="BX19" i="14"/>
  <c r="BX18" i="14"/>
  <c r="BX17" i="14"/>
  <c r="BY17" i="14" s="1"/>
  <c r="BX16" i="14"/>
  <c r="BX15" i="14"/>
  <c r="BX14" i="14"/>
  <c r="BX11" i="14"/>
  <c r="BY11" i="14" s="1"/>
  <c r="BX10" i="14"/>
  <c r="BX9" i="14"/>
  <c r="BV27" i="14"/>
  <c r="BV26" i="14"/>
  <c r="BW26" i="14" s="1"/>
  <c r="BV25" i="14"/>
  <c r="BV23" i="14"/>
  <c r="BV21" i="14"/>
  <c r="BV19" i="14"/>
  <c r="BW19" i="14" s="1"/>
  <c r="BV18" i="14"/>
  <c r="BV17" i="14"/>
  <c r="BV16" i="14"/>
  <c r="BV15" i="14"/>
  <c r="BW15" i="14" s="1"/>
  <c r="BV14" i="14"/>
  <c r="BV11" i="14"/>
  <c r="BV10" i="14"/>
  <c r="BV9" i="14"/>
  <c r="BW9" i="14" s="1"/>
  <c r="BT27" i="14"/>
  <c r="BT26" i="14"/>
  <c r="BT25" i="14"/>
  <c r="BT23" i="14"/>
  <c r="BU23" i="14" s="1"/>
  <c r="BT21" i="14"/>
  <c r="BT19" i="14"/>
  <c r="BT18" i="14"/>
  <c r="BT17" i="14"/>
  <c r="BU17" i="14" s="1"/>
  <c r="BT16" i="14"/>
  <c r="BT15" i="14"/>
  <c r="BT14" i="14"/>
  <c r="BT11" i="14"/>
  <c r="BU11" i="14" s="1"/>
  <c r="BT10" i="14"/>
  <c r="BT9" i="14"/>
  <c r="BR27" i="14"/>
  <c r="BR26" i="14"/>
  <c r="BS26" i="14" s="1"/>
  <c r="BR25" i="14"/>
  <c r="BR23" i="14"/>
  <c r="BR21" i="14"/>
  <c r="BR19" i="14"/>
  <c r="BS19" i="14" s="1"/>
  <c r="BR18" i="14"/>
  <c r="BR17" i="14"/>
  <c r="BR16" i="14"/>
  <c r="BR15" i="14"/>
  <c r="BS15" i="14" s="1"/>
  <c r="BR14" i="14"/>
  <c r="BR11" i="14"/>
  <c r="BR10" i="14"/>
  <c r="BR9" i="14"/>
  <c r="BS9" i="14" s="1"/>
  <c r="BP27" i="14"/>
  <c r="BP26" i="14"/>
  <c r="BP25" i="14"/>
  <c r="BP23" i="14"/>
  <c r="BQ23" i="14" s="1"/>
  <c r="BP21" i="14"/>
  <c r="BP19" i="14"/>
  <c r="BP18" i="14"/>
  <c r="BP17" i="14"/>
  <c r="BQ17" i="14" s="1"/>
  <c r="BP16" i="14"/>
  <c r="BP15" i="14"/>
  <c r="BP14" i="14"/>
  <c r="BP11" i="14"/>
  <c r="BQ11" i="14" s="1"/>
  <c r="BP10" i="14"/>
  <c r="BP9" i="14"/>
  <c r="BN27" i="14"/>
  <c r="BN26" i="14"/>
  <c r="BO26" i="14" s="1"/>
  <c r="BN25" i="14"/>
  <c r="BN23" i="14"/>
  <c r="BN21" i="14"/>
  <c r="BN19" i="14"/>
  <c r="BO19" i="14" s="1"/>
  <c r="BN18" i="14"/>
  <c r="BN17" i="14"/>
  <c r="BN16" i="14"/>
  <c r="BN15" i="14"/>
  <c r="BO15" i="14" s="1"/>
  <c r="BN14" i="14"/>
  <c r="BN11" i="14"/>
  <c r="BN10" i="14"/>
  <c r="BN9" i="14"/>
  <c r="BO9" i="14" s="1"/>
  <c r="BL27" i="14"/>
  <c r="BL26" i="14"/>
  <c r="BL25" i="14"/>
  <c r="BL23" i="14"/>
  <c r="BM23" i="14" s="1"/>
  <c r="BL21" i="14"/>
  <c r="BL19" i="14"/>
  <c r="BL18" i="14"/>
  <c r="BL17" i="14"/>
  <c r="BM17" i="14" s="1"/>
  <c r="BL16" i="14"/>
  <c r="BL15" i="14"/>
  <c r="BL14" i="14"/>
  <c r="BL11" i="14"/>
  <c r="BM11" i="14" s="1"/>
  <c r="BL10" i="14"/>
  <c r="BL9" i="14"/>
  <c r="BJ27" i="14"/>
  <c r="BJ26" i="14"/>
  <c r="BJ25" i="14"/>
  <c r="BJ23" i="14"/>
  <c r="BJ21" i="14"/>
  <c r="BJ19" i="14"/>
  <c r="BJ18" i="14"/>
  <c r="BJ17" i="14"/>
  <c r="BJ16" i="14"/>
  <c r="BJ15" i="14"/>
  <c r="BJ14" i="14"/>
  <c r="BJ11" i="14"/>
  <c r="BJ10" i="14"/>
  <c r="BJ9" i="14"/>
  <c r="BH27" i="14"/>
  <c r="BH26" i="14"/>
  <c r="BI26" i="14" s="1"/>
  <c r="BH25" i="14"/>
  <c r="BH23" i="14"/>
  <c r="BH21" i="14"/>
  <c r="BH19" i="14"/>
  <c r="BI19" i="14" s="1"/>
  <c r="BH18" i="14"/>
  <c r="BH17" i="14"/>
  <c r="BH16" i="14"/>
  <c r="BH15" i="14"/>
  <c r="BI15" i="14" s="1"/>
  <c r="BH14" i="14"/>
  <c r="BH11" i="14"/>
  <c r="BH10" i="14"/>
  <c r="BH9" i="14"/>
  <c r="BI9" i="14" s="1"/>
  <c r="BF27" i="14"/>
  <c r="BF26" i="14"/>
  <c r="BF25" i="14"/>
  <c r="BF23" i="14"/>
  <c r="BF21" i="14"/>
  <c r="BF19" i="14"/>
  <c r="BF18" i="14"/>
  <c r="BF17" i="14"/>
  <c r="BF16" i="14"/>
  <c r="BF15" i="14"/>
  <c r="BF14" i="14"/>
  <c r="BF11" i="14"/>
  <c r="BF10" i="14"/>
  <c r="BF9" i="14"/>
  <c r="BD27" i="14"/>
  <c r="BD26" i="14"/>
  <c r="BE26" i="14" s="1"/>
  <c r="BD25" i="14"/>
  <c r="BD23" i="14"/>
  <c r="BD21" i="14"/>
  <c r="BD19" i="14"/>
  <c r="BE19" i="14" s="1"/>
  <c r="BD18" i="14"/>
  <c r="BD17" i="14"/>
  <c r="BD16" i="14"/>
  <c r="BD15" i="14"/>
  <c r="BE15" i="14" s="1"/>
  <c r="BD14" i="14"/>
  <c r="BD11" i="14"/>
  <c r="BD10" i="14"/>
  <c r="BD9" i="14"/>
  <c r="BE9" i="14" s="1"/>
  <c r="BB27" i="14"/>
  <c r="BB26" i="14"/>
  <c r="BB25" i="14"/>
  <c r="BB23" i="14"/>
  <c r="BB21" i="14"/>
  <c r="BB19" i="14"/>
  <c r="BB18" i="14"/>
  <c r="BB17" i="14"/>
  <c r="BB16" i="14"/>
  <c r="BB15" i="14"/>
  <c r="BB14" i="14"/>
  <c r="BB11" i="14"/>
  <c r="BB10" i="14"/>
  <c r="BB9" i="14"/>
  <c r="AZ27" i="14"/>
  <c r="AZ26" i="14"/>
  <c r="BA26" i="14" s="1"/>
  <c r="AZ25" i="14"/>
  <c r="AZ23" i="14"/>
  <c r="AZ21" i="14"/>
  <c r="AZ19" i="14"/>
  <c r="BA19" i="14" s="1"/>
  <c r="AZ18" i="14"/>
  <c r="AZ17" i="14"/>
  <c r="AZ16" i="14"/>
  <c r="AZ15" i="14"/>
  <c r="BA15" i="14" s="1"/>
  <c r="AZ14" i="14"/>
  <c r="AZ11" i="14"/>
  <c r="AZ10" i="14"/>
  <c r="AZ9" i="14"/>
  <c r="BA9" i="14" s="1"/>
  <c r="AX27" i="14"/>
  <c r="AX26" i="14"/>
  <c r="AX25" i="14"/>
  <c r="AX23" i="14"/>
  <c r="AX21" i="14"/>
  <c r="AX19" i="14"/>
  <c r="AX18" i="14"/>
  <c r="AX17" i="14"/>
  <c r="AX16" i="14"/>
  <c r="AX15" i="14"/>
  <c r="AX14" i="14"/>
  <c r="AX11" i="14"/>
  <c r="AX10" i="14"/>
  <c r="AX9" i="14"/>
  <c r="AV27" i="14"/>
  <c r="AV26" i="14"/>
  <c r="AV25" i="14"/>
  <c r="AV23" i="14"/>
  <c r="AV21" i="14"/>
  <c r="AV19" i="14"/>
  <c r="AV18" i="14"/>
  <c r="AV17" i="14"/>
  <c r="AV16" i="14"/>
  <c r="AV15" i="14"/>
  <c r="AV14" i="14"/>
  <c r="AV11" i="14"/>
  <c r="AV10" i="14"/>
  <c r="AV9" i="14"/>
  <c r="AT27" i="14"/>
  <c r="AT26" i="14"/>
  <c r="AT25" i="14"/>
  <c r="AT23" i="14"/>
  <c r="AT21" i="14"/>
  <c r="AT19" i="14"/>
  <c r="AT18" i="14"/>
  <c r="AT17" i="14"/>
  <c r="AT16" i="14"/>
  <c r="AT15" i="14"/>
  <c r="AT14" i="14"/>
  <c r="AT11" i="14"/>
  <c r="AT10" i="14"/>
  <c r="AT9" i="14"/>
  <c r="AR27" i="14"/>
  <c r="AR26" i="14"/>
  <c r="AR25" i="14"/>
  <c r="AR23" i="14"/>
  <c r="AR21" i="14"/>
  <c r="AR19" i="14"/>
  <c r="AR18" i="14"/>
  <c r="AR17" i="14"/>
  <c r="AR16" i="14"/>
  <c r="AR15" i="14"/>
  <c r="AR14" i="14"/>
  <c r="AR11" i="14"/>
  <c r="AR10" i="14"/>
  <c r="AR9" i="14"/>
  <c r="AP27" i="14"/>
  <c r="AP26" i="14"/>
  <c r="AP25" i="14"/>
  <c r="AP23" i="14"/>
  <c r="AP21" i="14"/>
  <c r="AP19" i="14"/>
  <c r="AP18" i="14"/>
  <c r="AP17" i="14"/>
  <c r="AP16" i="14"/>
  <c r="AP15" i="14"/>
  <c r="AP14" i="14"/>
  <c r="AP11" i="14"/>
  <c r="AP10" i="14"/>
  <c r="AP9" i="14"/>
  <c r="AN27" i="14"/>
  <c r="AN26" i="14"/>
  <c r="AN25" i="14"/>
  <c r="AN23" i="14"/>
  <c r="AN21" i="14"/>
  <c r="AN19" i="14"/>
  <c r="AN18" i="14"/>
  <c r="AN17" i="14"/>
  <c r="AN16" i="14"/>
  <c r="AN15" i="14"/>
  <c r="AN14" i="14"/>
  <c r="AN11" i="14"/>
  <c r="AN10" i="14"/>
  <c r="AN9" i="14"/>
  <c r="AL27" i="14"/>
  <c r="AL26" i="14"/>
  <c r="AL25" i="14"/>
  <c r="AL23" i="14"/>
  <c r="AL21" i="14"/>
  <c r="AL19" i="14"/>
  <c r="AL18" i="14"/>
  <c r="AL17" i="14"/>
  <c r="AL16" i="14"/>
  <c r="AL15" i="14"/>
  <c r="AL14" i="14"/>
  <c r="AL11" i="14"/>
  <c r="AL10" i="14"/>
  <c r="AL9" i="14"/>
  <c r="AJ27" i="14"/>
  <c r="AJ26" i="14"/>
  <c r="AJ25" i="14"/>
  <c r="AJ23" i="14"/>
  <c r="AJ21" i="14"/>
  <c r="AJ19" i="14"/>
  <c r="AJ18" i="14"/>
  <c r="AJ17" i="14"/>
  <c r="AJ16" i="14"/>
  <c r="AJ15" i="14"/>
  <c r="AJ14" i="14"/>
  <c r="AJ11" i="14"/>
  <c r="AJ10" i="14"/>
  <c r="AJ9" i="14"/>
  <c r="AH27" i="14"/>
  <c r="AH26" i="14"/>
  <c r="AH25" i="14"/>
  <c r="AH23" i="14"/>
  <c r="AH21" i="14"/>
  <c r="AH19" i="14"/>
  <c r="AH18" i="14"/>
  <c r="AH17" i="14"/>
  <c r="AH16" i="14"/>
  <c r="AH15" i="14"/>
  <c r="AH14" i="14"/>
  <c r="AH11" i="14"/>
  <c r="AH10" i="14"/>
  <c r="AH9" i="14"/>
  <c r="AF27" i="14"/>
  <c r="AF26" i="14"/>
  <c r="AF25" i="14"/>
  <c r="AF23" i="14"/>
  <c r="AF21" i="14"/>
  <c r="AF19" i="14"/>
  <c r="AF18" i="14"/>
  <c r="AF17" i="14"/>
  <c r="AF16" i="14"/>
  <c r="AF15" i="14"/>
  <c r="AF14" i="14"/>
  <c r="AF11" i="14"/>
  <c r="AF10" i="14"/>
  <c r="AF9" i="14"/>
  <c r="AD27" i="14"/>
  <c r="AD26" i="14"/>
  <c r="AD25" i="14"/>
  <c r="AD23" i="14"/>
  <c r="AD21" i="14"/>
  <c r="AD19" i="14"/>
  <c r="AD18" i="14"/>
  <c r="AD17" i="14"/>
  <c r="AD16" i="14"/>
  <c r="AD15" i="14"/>
  <c r="AD14" i="14"/>
  <c r="AD11" i="14"/>
  <c r="AD10" i="14"/>
  <c r="AD9" i="14"/>
  <c r="AB27" i="14"/>
  <c r="AB26" i="14"/>
  <c r="AB25" i="14"/>
  <c r="AB23" i="14"/>
  <c r="AB21" i="14"/>
  <c r="AB19" i="14"/>
  <c r="AB18" i="14"/>
  <c r="AB17" i="14"/>
  <c r="AB16" i="14"/>
  <c r="AB15" i="14"/>
  <c r="AB14" i="14"/>
  <c r="AB11" i="14"/>
  <c r="AB10" i="14"/>
  <c r="AB9" i="14"/>
  <c r="Z27" i="14"/>
  <c r="Z26" i="14"/>
  <c r="Z25" i="14"/>
  <c r="Z23" i="14"/>
  <c r="Z21" i="14"/>
  <c r="Z19" i="14"/>
  <c r="Z18" i="14"/>
  <c r="Z17" i="14"/>
  <c r="Z16" i="14"/>
  <c r="Z15" i="14"/>
  <c r="Z14" i="14"/>
  <c r="Z11" i="14"/>
  <c r="Z10" i="14"/>
  <c r="Z9" i="14"/>
  <c r="X27" i="14"/>
  <c r="X26" i="14"/>
  <c r="X25" i="14"/>
  <c r="X23" i="14"/>
  <c r="X21" i="14"/>
  <c r="X19" i="14"/>
  <c r="X18" i="14"/>
  <c r="X17" i="14"/>
  <c r="X16" i="14"/>
  <c r="X15" i="14"/>
  <c r="X14" i="14"/>
  <c r="X11" i="14"/>
  <c r="X10" i="14"/>
  <c r="X9" i="14"/>
  <c r="V27" i="14"/>
  <c r="V26" i="14"/>
  <c r="V25" i="14"/>
  <c r="V23" i="14"/>
  <c r="V21" i="14"/>
  <c r="V19" i="14"/>
  <c r="V18" i="14"/>
  <c r="V17" i="14"/>
  <c r="V16" i="14"/>
  <c r="V15" i="14"/>
  <c r="V14" i="14"/>
  <c r="V11" i="14"/>
  <c r="V10" i="14"/>
  <c r="V9" i="14"/>
  <c r="T27" i="14"/>
  <c r="T26" i="14"/>
  <c r="T25" i="14"/>
  <c r="T23" i="14"/>
  <c r="T21" i="14"/>
  <c r="T19" i="14"/>
  <c r="T18" i="14"/>
  <c r="T17" i="14"/>
  <c r="T16" i="14"/>
  <c r="T15" i="14"/>
  <c r="T14" i="14"/>
  <c r="T11" i="14"/>
  <c r="T10" i="14"/>
  <c r="T9" i="14"/>
  <c r="R27" i="14"/>
  <c r="R26" i="14"/>
  <c r="R25" i="14"/>
  <c r="R23" i="14"/>
  <c r="R21" i="14"/>
  <c r="R19" i="14"/>
  <c r="R18" i="14"/>
  <c r="R17" i="14"/>
  <c r="R16" i="14"/>
  <c r="R15" i="14"/>
  <c r="R14" i="14"/>
  <c r="R11" i="14"/>
  <c r="R10" i="14"/>
  <c r="R9" i="14"/>
  <c r="P27" i="14"/>
  <c r="P26" i="14"/>
  <c r="P25" i="14"/>
  <c r="P23" i="14"/>
  <c r="P21" i="14"/>
  <c r="P19" i="14"/>
  <c r="P18" i="14"/>
  <c r="P17" i="14"/>
  <c r="P16" i="14"/>
  <c r="P15" i="14"/>
  <c r="P14" i="14"/>
  <c r="P11" i="14"/>
  <c r="P10" i="14"/>
  <c r="P9" i="14"/>
  <c r="N27" i="14"/>
  <c r="N26" i="14"/>
  <c r="N25" i="14"/>
  <c r="N23" i="14"/>
  <c r="N21" i="14"/>
  <c r="N19" i="14"/>
  <c r="N18" i="14"/>
  <c r="N17" i="14"/>
  <c r="N16" i="14"/>
  <c r="N15" i="14"/>
  <c r="N14" i="14"/>
  <c r="N10" i="14"/>
  <c r="N11" i="14"/>
  <c r="N9" i="14"/>
  <c r="CG28" i="14"/>
  <c r="CG27" i="14"/>
  <c r="CG26" i="14"/>
  <c r="CG25" i="14"/>
  <c r="CG21" i="14"/>
  <c r="CG19" i="14"/>
  <c r="CG18" i="14"/>
  <c r="CG16" i="14"/>
  <c r="CG15" i="14"/>
  <c r="CG14" i="14"/>
  <c r="CG10" i="14"/>
  <c r="CG9" i="14"/>
  <c r="CG8" i="14"/>
  <c r="CE28" i="14"/>
  <c r="CE27" i="14"/>
  <c r="CE25" i="14"/>
  <c r="CE23" i="14"/>
  <c r="CE21" i="14"/>
  <c r="CE18" i="14"/>
  <c r="CE17" i="14"/>
  <c r="CE16" i="14"/>
  <c r="CE14" i="14"/>
  <c r="CE11" i="14"/>
  <c r="CE10" i="14"/>
  <c r="CE8" i="14"/>
  <c r="CC28" i="14"/>
  <c r="CC27" i="14"/>
  <c r="CC26" i="14"/>
  <c r="CC25" i="14"/>
  <c r="CC21" i="14"/>
  <c r="CC19" i="14"/>
  <c r="CC18" i="14"/>
  <c r="CC16" i="14"/>
  <c r="CC15" i="14"/>
  <c r="CC14" i="14"/>
  <c r="CC10" i="14"/>
  <c r="CC9" i="14"/>
  <c r="CC8" i="14"/>
  <c r="CA28" i="14"/>
  <c r="CA27" i="14"/>
  <c r="CA25" i="14"/>
  <c r="CA23" i="14"/>
  <c r="CA21" i="14"/>
  <c r="CA18" i="14"/>
  <c r="CA17" i="14"/>
  <c r="CA16" i="14"/>
  <c r="CA14" i="14"/>
  <c r="CA11" i="14"/>
  <c r="CA10" i="14"/>
  <c r="CA8" i="14"/>
  <c r="BY28" i="14"/>
  <c r="BY27" i="14"/>
  <c r="BY26" i="14"/>
  <c r="BY25" i="14"/>
  <c r="BY21" i="14"/>
  <c r="BY19" i="14"/>
  <c r="BY18" i="14"/>
  <c r="BY16" i="14"/>
  <c r="BY15" i="14"/>
  <c r="BY14" i="14"/>
  <c r="BY10" i="14"/>
  <c r="BY9" i="14"/>
  <c r="BY8" i="14"/>
  <c r="BW28" i="14"/>
  <c r="BW27" i="14"/>
  <c r="BW25" i="14"/>
  <c r="BW23" i="14"/>
  <c r="BW21" i="14"/>
  <c r="BW18" i="14"/>
  <c r="BW17" i="14"/>
  <c r="BW16" i="14"/>
  <c r="BW14" i="14"/>
  <c r="BW11" i="14"/>
  <c r="BW10" i="14"/>
  <c r="BW8" i="14"/>
  <c r="BU28" i="14"/>
  <c r="BU27" i="14"/>
  <c r="BU26" i="14"/>
  <c r="BU25" i="14"/>
  <c r="BU21" i="14"/>
  <c r="BU19" i="14"/>
  <c r="BU18" i="14"/>
  <c r="BU16" i="14"/>
  <c r="BU15" i="14"/>
  <c r="BU14" i="14"/>
  <c r="BU10" i="14"/>
  <c r="BU9" i="14"/>
  <c r="BU8" i="14"/>
  <c r="BS28" i="14"/>
  <c r="BS27" i="14"/>
  <c r="BS25" i="14"/>
  <c r="BS23" i="14"/>
  <c r="BS21" i="14"/>
  <c r="BS18" i="14"/>
  <c r="BS17" i="14"/>
  <c r="BS16" i="14"/>
  <c r="BS14" i="14"/>
  <c r="BS11" i="14"/>
  <c r="BS10" i="14"/>
  <c r="BS8" i="14"/>
  <c r="BQ28" i="14"/>
  <c r="BQ27" i="14"/>
  <c r="BQ26" i="14"/>
  <c r="BQ25" i="14"/>
  <c r="BQ21" i="14"/>
  <c r="BQ19" i="14"/>
  <c r="BQ18" i="14"/>
  <c r="BQ16" i="14"/>
  <c r="BQ15" i="14"/>
  <c r="BQ14" i="14"/>
  <c r="BQ10" i="14"/>
  <c r="BQ9" i="14"/>
  <c r="BQ8" i="14"/>
  <c r="BO28" i="14"/>
  <c r="BO27" i="14"/>
  <c r="BO25" i="14"/>
  <c r="BO23" i="14"/>
  <c r="BO21" i="14"/>
  <c r="BO18" i="14"/>
  <c r="BO17" i="14"/>
  <c r="BO16" i="14"/>
  <c r="BO14" i="14"/>
  <c r="BO11" i="14"/>
  <c r="BO10" i="14"/>
  <c r="BO8" i="14"/>
  <c r="BM28" i="14"/>
  <c r="BM27" i="14"/>
  <c r="BM26" i="14"/>
  <c r="BM25" i="14"/>
  <c r="BM21" i="14"/>
  <c r="BM19" i="14"/>
  <c r="BM18" i="14"/>
  <c r="BM16" i="14"/>
  <c r="BM15" i="14"/>
  <c r="BM14" i="14"/>
  <c r="BM10" i="14"/>
  <c r="BM9" i="14"/>
  <c r="BM8" i="14"/>
  <c r="BK28" i="14"/>
  <c r="BK27" i="14"/>
  <c r="BK26" i="14"/>
  <c r="BK25" i="14"/>
  <c r="BK23" i="14"/>
  <c r="BK21" i="14"/>
  <c r="BK19" i="14"/>
  <c r="BK18" i="14"/>
  <c r="BK17" i="14"/>
  <c r="BK16" i="14"/>
  <c r="BK15" i="14"/>
  <c r="BK14" i="14"/>
  <c r="BK11" i="14"/>
  <c r="BK10" i="14"/>
  <c r="BK9" i="14"/>
  <c r="BK8" i="14"/>
  <c r="BI28" i="14"/>
  <c r="BI27" i="14"/>
  <c r="BI25" i="14"/>
  <c r="BI23" i="14"/>
  <c r="BI21" i="14"/>
  <c r="BI18" i="14"/>
  <c r="BI17" i="14"/>
  <c r="BI16" i="14"/>
  <c r="BI14" i="14"/>
  <c r="BI11" i="14"/>
  <c r="BI10" i="14"/>
  <c r="BI8" i="14"/>
  <c r="BG28" i="14"/>
  <c r="BG27" i="14"/>
  <c r="BG26" i="14"/>
  <c r="BG25" i="14"/>
  <c r="BG23" i="14"/>
  <c r="BG21" i="14"/>
  <c r="BG19" i="14"/>
  <c r="BG18" i="14"/>
  <c r="BG17" i="14"/>
  <c r="BG16" i="14"/>
  <c r="BG15" i="14"/>
  <c r="BG14" i="14"/>
  <c r="BG11" i="14"/>
  <c r="BG10" i="14"/>
  <c r="BG9" i="14"/>
  <c r="BG8" i="14"/>
  <c r="BE28" i="14"/>
  <c r="BE27" i="14"/>
  <c r="BE25" i="14"/>
  <c r="BE23" i="14"/>
  <c r="BE21" i="14"/>
  <c r="BE18" i="14"/>
  <c r="BE17" i="14"/>
  <c r="BE16" i="14"/>
  <c r="BE14" i="14"/>
  <c r="BE11" i="14"/>
  <c r="BE10" i="14"/>
  <c r="BE8" i="14"/>
  <c r="BC28" i="14"/>
  <c r="BC27" i="14"/>
  <c r="BC26" i="14"/>
  <c r="BC25" i="14"/>
  <c r="BC23" i="14"/>
  <c r="BC21" i="14"/>
  <c r="BC19" i="14"/>
  <c r="BC18" i="14"/>
  <c r="BC17" i="14"/>
  <c r="BC16" i="14"/>
  <c r="BC15" i="14"/>
  <c r="BC14" i="14"/>
  <c r="BC11" i="14"/>
  <c r="BC10" i="14"/>
  <c r="BC9" i="14"/>
  <c r="BC8" i="14"/>
  <c r="BA28" i="14"/>
  <c r="BA27" i="14"/>
  <c r="BA25" i="14"/>
  <c r="BA23" i="14"/>
  <c r="BA21" i="14"/>
  <c r="BA18" i="14"/>
  <c r="BA17" i="14"/>
  <c r="BA16" i="14"/>
  <c r="BA14" i="14"/>
  <c r="BA11" i="14"/>
  <c r="BA10" i="14"/>
  <c r="BA8" i="14"/>
  <c r="AY28" i="14"/>
  <c r="AY27" i="14"/>
  <c r="AY26" i="14"/>
  <c r="AY25" i="14"/>
  <c r="AY23" i="14"/>
  <c r="AY21" i="14"/>
  <c r="AY19" i="14"/>
  <c r="AY18" i="14"/>
  <c r="AY17" i="14"/>
  <c r="AY16" i="14"/>
  <c r="AY15" i="14"/>
  <c r="AY14" i="14"/>
  <c r="AY11" i="14"/>
  <c r="AY10" i="14"/>
  <c r="AY9" i="14"/>
  <c r="AY8" i="14"/>
  <c r="H17" i="12"/>
  <c r="I17" i="12" s="1"/>
  <c r="J17" i="12" s="1"/>
  <c r="I78" i="13"/>
  <c r="I77" i="13"/>
  <c r="I76" i="13"/>
  <c r="I75" i="13"/>
  <c r="I74" i="13"/>
  <c r="L71" i="13"/>
  <c r="L69" i="13"/>
  <c r="L68" i="13"/>
  <c r="L66" i="13"/>
  <c r="G66" i="13"/>
  <c r="L65" i="13"/>
  <c r="G65" i="13"/>
  <c r="L64" i="13"/>
  <c r="G64" i="13"/>
  <c r="L60" i="13"/>
  <c r="L59" i="13"/>
  <c r="L57" i="13"/>
  <c r="L56" i="13"/>
  <c r="L55" i="13"/>
  <c r="K55" i="13"/>
  <c r="L54" i="13"/>
  <c r="G54" i="13"/>
  <c r="L53" i="13"/>
  <c r="L52" i="13"/>
  <c r="G52" i="13"/>
  <c r="L50" i="13"/>
  <c r="G50" i="13"/>
  <c r="L49" i="13"/>
  <c r="G49" i="13"/>
  <c r="L47" i="13"/>
  <c r="G47" i="13"/>
  <c r="L46" i="13"/>
  <c r="G46" i="13"/>
  <c r="L45" i="13"/>
  <c r="L44" i="13"/>
  <c r="G44" i="13"/>
  <c r="L43" i="13"/>
  <c r="L42" i="13"/>
  <c r="L39" i="13"/>
  <c r="F34" i="13"/>
  <c r="F33" i="13"/>
  <c r="F32" i="13"/>
  <c r="L29" i="13"/>
  <c r="L27" i="13"/>
  <c r="I27" i="13"/>
  <c r="G27" i="13"/>
  <c r="L26" i="13"/>
  <c r="I26" i="13"/>
  <c r="G26" i="13"/>
  <c r="L25" i="13"/>
  <c r="I25" i="13"/>
  <c r="G25" i="13"/>
  <c r="L24" i="13"/>
  <c r="L23" i="13"/>
  <c r="I23" i="13"/>
  <c r="G23" i="13"/>
  <c r="L22" i="13"/>
  <c r="L21" i="13"/>
  <c r="J21" i="13"/>
  <c r="I21" i="13"/>
  <c r="G21" i="13"/>
  <c r="L20" i="13"/>
  <c r="I20" i="13"/>
  <c r="G20" i="13"/>
  <c r="L19" i="13"/>
  <c r="J19" i="13"/>
  <c r="I19" i="13"/>
  <c r="G19" i="13"/>
  <c r="L18" i="13"/>
  <c r="J18" i="13"/>
  <c r="I18" i="13"/>
  <c r="G18" i="13"/>
  <c r="L17" i="13"/>
  <c r="I17" i="13"/>
  <c r="G17" i="13"/>
  <c r="L16" i="13"/>
  <c r="I16" i="13"/>
  <c r="L15" i="13"/>
  <c r="J15" i="13"/>
  <c r="I15" i="13"/>
  <c r="G15" i="13"/>
  <c r="L14" i="13"/>
  <c r="H14" i="13"/>
  <c r="H13" i="13"/>
  <c r="L12" i="13"/>
  <c r="J12" i="13"/>
  <c r="I12" i="13"/>
  <c r="G12" i="13"/>
  <c r="L11" i="13"/>
  <c r="J11" i="13"/>
  <c r="I11" i="13"/>
  <c r="G11" i="13"/>
  <c r="L10" i="13"/>
  <c r="J10" i="13"/>
  <c r="I10" i="13"/>
  <c r="G10" i="13"/>
  <c r="L9" i="13"/>
  <c r="I9" i="13"/>
  <c r="L8" i="13"/>
  <c r="I79" i="11"/>
  <c r="I78" i="11"/>
  <c r="I77" i="11"/>
  <c r="I76" i="11"/>
  <c r="I75" i="11"/>
  <c r="L72" i="11"/>
  <c r="L70" i="11"/>
  <c r="L69" i="11"/>
  <c r="L67" i="11"/>
  <c r="G67" i="11"/>
  <c r="L66" i="11"/>
  <c r="G66" i="11"/>
  <c r="L65" i="11"/>
  <c r="G65" i="11"/>
  <c r="L61" i="11"/>
  <c r="L60" i="11"/>
  <c r="L58" i="11"/>
  <c r="L57" i="11"/>
  <c r="L56" i="11"/>
  <c r="K56" i="11"/>
  <c r="L55" i="11"/>
  <c r="G55" i="11"/>
  <c r="L54" i="11"/>
  <c r="L53" i="11"/>
  <c r="G53" i="11"/>
  <c r="L51" i="11"/>
  <c r="G51" i="11"/>
  <c r="L50" i="11"/>
  <c r="G50" i="11"/>
  <c r="L48" i="11"/>
  <c r="G48" i="11"/>
  <c r="L47" i="11"/>
  <c r="G47" i="11"/>
  <c r="L46" i="11"/>
  <c r="L45" i="11"/>
  <c r="G45" i="11"/>
  <c r="L44" i="11"/>
  <c r="L43" i="11"/>
  <c r="L40" i="11"/>
  <c r="F35" i="11"/>
  <c r="F34" i="11"/>
  <c r="F33" i="11"/>
  <c r="L30" i="11"/>
  <c r="L28" i="11"/>
  <c r="I28" i="11"/>
  <c r="G28" i="11"/>
  <c r="L27" i="11"/>
  <c r="I27" i="11"/>
  <c r="G27" i="11"/>
  <c r="L26" i="11"/>
  <c r="I26" i="11"/>
  <c r="G26" i="11"/>
  <c r="L25" i="11"/>
  <c r="L24" i="11"/>
  <c r="I24" i="11"/>
  <c r="G24" i="11"/>
  <c r="L23" i="11"/>
  <c r="L22" i="11"/>
  <c r="J22" i="11"/>
  <c r="I22" i="11"/>
  <c r="G22" i="11"/>
  <c r="L21" i="11"/>
  <c r="I21" i="11"/>
  <c r="G21" i="11"/>
  <c r="L20" i="11"/>
  <c r="J20" i="11"/>
  <c r="I20" i="11"/>
  <c r="G20" i="11"/>
  <c r="L19" i="11"/>
  <c r="J19" i="11"/>
  <c r="I19" i="11"/>
  <c r="G19" i="11"/>
  <c r="L18" i="11"/>
  <c r="I18" i="11"/>
  <c r="G18" i="11"/>
  <c r="L17" i="11"/>
  <c r="I17" i="11"/>
  <c r="L16" i="11"/>
  <c r="I16" i="11"/>
  <c r="L15" i="11"/>
  <c r="J15" i="11"/>
  <c r="I15" i="11"/>
  <c r="G15" i="11"/>
  <c r="L14" i="11"/>
  <c r="H14" i="11"/>
  <c r="H13" i="11"/>
  <c r="L12" i="11"/>
  <c r="J12" i="11"/>
  <c r="I12" i="11"/>
  <c r="G12" i="11"/>
  <c r="L11" i="11"/>
  <c r="J11" i="11"/>
  <c r="I11" i="11"/>
  <c r="G11" i="11"/>
  <c r="L10" i="11"/>
  <c r="J10" i="11"/>
  <c r="I10" i="11"/>
  <c r="G10" i="11"/>
  <c r="L9" i="11"/>
  <c r="I9" i="11"/>
  <c r="L8" i="11"/>
  <c r="AL37" i="14"/>
  <c r="AW28" i="14"/>
  <c r="AU28" i="14"/>
  <c r="AS28" i="14"/>
  <c r="AQ28" i="14"/>
  <c r="AO28" i="14"/>
  <c r="AM28" i="14"/>
  <c r="AK28" i="14"/>
  <c r="AI28" i="14"/>
  <c r="AG28" i="14"/>
  <c r="AE28" i="14"/>
  <c r="AC28" i="14"/>
  <c r="AA28" i="14"/>
  <c r="Y28" i="14"/>
  <c r="W28" i="14"/>
  <c r="U28" i="14"/>
  <c r="S28" i="14"/>
  <c r="Q28" i="14"/>
  <c r="O28" i="14"/>
  <c r="I27" i="14"/>
  <c r="I26" i="14"/>
  <c r="I25" i="14"/>
  <c r="I23" i="14"/>
  <c r="I21" i="14"/>
  <c r="G21" i="14"/>
  <c r="J19" i="14"/>
  <c r="I19" i="14"/>
  <c r="I18" i="14"/>
  <c r="G18" i="14"/>
  <c r="I17" i="14"/>
  <c r="H17" i="14"/>
  <c r="J16" i="14"/>
  <c r="I16" i="14"/>
  <c r="G16" i="14"/>
  <c r="G23" i="14" s="1"/>
  <c r="J15" i="14"/>
  <c r="I15" i="14"/>
  <c r="G15" i="14"/>
  <c r="J14" i="14"/>
  <c r="I14" i="14"/>
  <c r="G14" i="14"/>
  <c r="H13" i="14"/>
  <c r="H12" i="14"/>
  <c r="J11" i="14"/>
  <c r="I11" i="14"/>
  <c r="J10" i="14"/>
  <c r="I10" i="14"/>
  <c r="J9" i="14"/>
  <c r="I9" i="14"/>
  <c r="G9" i="14"/>
  <c r="G10" i="14" s="1"/>
  <c r="I8" i="14"/>
  <c r="I27" i="12"/>
  <c r="J27" i="12" s="1"/>
  <c r="L27" i="14" s="1"/>
  <c r="I26" i="12"/>
  <c r="J26" i="12" s="1"/>
  <c r="L26" i="14" s="1"/>
  <c r="I25" i="12"/>
  <c r="J25" i="12" s="1"/>
  <c r="L25" i="14" s="1"/>
  <c r="I23" i="12"/>
  <c r="I21" i="12"/>
  <c r="J21" i="12" s="1"/>
  <c r="G21" i="12"/>
  <c r="I19" i="12"/>
  <c r="I18" i="12"/>
  <c r="G18" i="12"/>
  <c r="J18" i="12" s="1"/>
  <c r="L18" i="14" s="1"/>
  <c r="I16" i="12"/>
  <c r="G16" i="12"/>
  <c r="G23" i="12" s="1"/>
  <c r="I15" i="12"/>
  <c r="G15" i="12"/>
  <c r="J15" i="12" s="1"/>
  <c r="L15" i="14" s="1"/>
  <c r="I14" i="12"/>
  <c r="G14" i="12"/>
  <c r="I11" i="12"/>
  <c r="J11" i="12" s="1"/>
  <c r="L11" i="14" s="1"/>
  <c r="I10" i="12"/>
  <c r="I9" i="12"/>
  <c r="G9" i="12"/>
  <c r="G19" i="12" s="1"/>
  <c r="J19" i="12" s="1"/>
  <c r="L19" i="14" s="1"/>
  <c r="I8" i="12"/>
  <c r="J8" i="12" s="1"/>
  <c r="L8" i="14" s="1"/>
  <c r="AZ5" i="14" l="1"/>
  <c r="CF5" i="14"/>
  <c r="CD5" i="14"/>
  <c r="CB5" i="14"/>
  <c r="BZ5" i="14"/>
  <c r="BX5" i="14"/>
  <c r="BV5" i="14"/>
  <c r="BT5" i="14"/>
  <c r="BR5" i="14"/>
  <c r="BP5" i="14"/>
  <c r="BN5" i="14"/>
  <c r="BL5" i="14"/>
  <c r="BJ5" i="14"/>
  <c r="BH5" i="14"/>
  <c r="BF5" i="14"/>
  <c r="BD5" i="14"/>
  <c r="BB5" i="14"/>
  <c r="AX5" i="14"/>
  <c r="J14" i="12"/>
  <c r="L14" i="14" s="1"/>
  <c r="G10" i="12"/>
  <c r="J10" i="12" s="1"/>
  <c r="L10" i="14" s="1"/>
  <c r="J23" i="12"/>
  <c r="J22" i="12" s="1"/>
  <c r="L21" i="14"/>
  <c r="AQ21" i="14" s="1"/>
  <c r="J20" i="12"/>
  <c r="O27" i="14"/>
  <c r="AW27" i="14"/>
  <c r="L17" i="14"/>
  <c r="AM17" i="14" s="1"/>
  <c r="AE26" i="14"/>
  <c r="J16" i="12"/>
  <c r="L16" i="14" s="1"/>
  <c r="S16" i="14" s="1"/>
  <c r="J9" i="12"/>
  <c r="L9" i="14" s="1"/>
  <c r="AU9" i="14" s="1"/>
  <c r="J24" i="12"/>
  <c r="AA27" i="14"/>
  <c r="U25" i="14"/>
  <c r="AQ25" i="14"/>
  <c r="G19" i="14"/>
  <c r="AU18" i="14"/>
  <c r="AI27" i="14"/>
  <c r="AW8" i="14"/>
  <c r="AO8" i="14"/>
  <c r="AG8" i="14"/>
  <c r="Y8" i="14"/>
  <c r="Q8" i="14"/>
  <c r="AU8" i="14"/>
  <c r="AK8" i="14"/>
  <c r="AA8" i="14"/>
  <c r="O8" i="14"/>
  <c r="U8" i="14"/>
  <c r="S8" i="14"/>
  <c r="AS8" i="14"/>
  <c r="AI8" i="14"/>
  <c r="W8" i="14"/>
  <c r="AQ8" i="14"/>
  <c r="AM8" i="14"/>
  <c r="AE8" i="14"/>
  <c r="AC8" i="14"/>
  <c r="O17" i="14"/>
  <c r="AM18" i="14"/>
  <c r="U18" i="14"/>
  <c r="AA18" i="14"/>
  <c r="AW11" i="14"/>
  <c r="AS11" i="14"/>
  <c r="AO11" i="14"/>
  <c r="AK11" i="14"/>
  <c r="AG11" i="14"/>
  <c r="AC11" i="14"/>
  <c r="Y11" i="14"/>
  <c r="U11" i="14"/>
  <c r="Q11" i="14"/>
  <c r="AU11" i="14"/>
  <c r="AI11" i="14"/>
  <c r="W11" i="14"/>
  <c r="AM11" i="14"/>
  <c r="AA11" i="14"/>
  <c r="O11" i="14"/>
  <c r="AQ11" i="14"/>
  <c r="AE11" i="14"/>
  <c r="S11" i="14"/>
  <c r="AU10" i="14"/>
  <c r="AQ10" i="14"/>
  <c r="AM10" i="14"/>
  <c r="AI10" i="14"/>
  <c r="AE10" i="14"/>
  <c r="AA10" i="14"/>
  <c r="W10" i="14"/>
  <c r="S10" i="14"/>
  <c r="O10" i="14"/>
  <c r="AW15" i="14"/>
  <c r="AO15" i="14"/>
  <c r="AG15" i="14"/>
  <c r="Y15" i="14"/>
  <c r="Q15" i="14"/>
  <c r="AU15" i="14"/>
  <c r="AM15" i="14"/>
  <c r="AE15" i="14"/>
  <c r="W15" i="14"/>
  <c r="O15" i="14"/>
  <c r="AC15" i="14"/>
  <c r="AS16" i="14"/>
  <c r="AC10" i="14"/>
  <c r="AS10" i="14"/>
  <c r="AQ15" i="14"/>
  <c r="AQ26" i="14"/>
  <c r="AI26" i="14"/>
  <c r="AA26" i="14"/>
  <c r="S26" i="14"/>
  <c r="AU26" i="14"/>
  <c r="AK26" i="14"/>
  <c r="Y26" i="14"/>
  <c r="O26" i="14"/>
  <c r="AS26" i="14"/>
  <c r="AG26" i="14"/>
  <c r="W26" i="14"/>
  <c r="AO10" i="14"/>
  <c r="AS15" i="14"/>
  <c r="Y16" i="14"/>
  <c r="AS19" i="14"/>
  <c r="Q19" i="14"/>
  <c r="Y19" i="14"/>
  <c r="AW25" i="14"/>
  <c r="AO25" i="14"/>
  <c r="AG25" i="14"/>
  <c r="Y25" i="14"/>
  <c r="Q25" i="14"/>
  <c r="AU25" i="14"/>
  <c r="AK25" i="14"/>
  <c r="AA25" i="14"/>
  <c r="O25" i="14"/>
  <c r="AS25" i="14"/>
  <c r="AI25" i="14"/>
  <c r="W25" i="14"/>
  <c r="U10" i="14"/>
  <c r="AK10" i="14"/>
  <c r="AQ14" i="14"/>
  <c r="AI14" i="14"/>
  <c r="AA14" i="14"/>
  <c r="S14" i="14"/>
  <c r="AW14" i="14"/>
  <c r="AO14" i="14"/>
  <c r="AG14" i="14"/>
  <c r="Y14" i="14"/>
  <c r="Q14" i="14"/>
  <c r="U14" i="14"/>
  <c r="AK14" i="14"/>
  <c r="S15" i="14"/>
  <c r="AI15" i="14"/>
  <c r="AQ16" i="14"/>
  <c r="Q21" i="14"/>
  <c r="AE25" i="14"/>
  <c r="Q26" i="14"/>
  <c r="AM26" i="14"/>
  <c r="Q27" i="14"/>
  <c r="AM27" i="14"/>
  <c r="AA15" i="14"/>
  <c r="AC26" i="14"/>
  <c r="AW26" i="14"/>
  <c r="Y10" i="14"/>
  <c r="AC25" i="14"/>
  <c r="Q10" i="14"/>
  <c r="AG10" i="14"/>
  <c r="AW10" i="14"/>
  <c r="U15" i="14"/>
  <c r="AK15" i="14"/>
  <c r="L24" i="14"/>
  <c r="S25" i="14"/>
  <c r="AM25" i="14"/>
  <c r="U26" i="14"/>
  <c r="AO26" i="14"/>
  <c r="AS27" i="14"/>
  <c r="AK27" i="14"/>
  <c r="AC27" i="14"/>
  <c r="U27" i="14"/>
  <c r="AQ27" i="14"/>
  <c r="AG27" i="14"/>
  <c r="W27" i="14"/>
  <c r="AO27" i="14"/>
  <c r="AE27" i="14"/>
  <c r="S27" i="14"/>
  <c r="Y27" i="14"/>
  <c r="AU27" i="14"/>
  <c r="L23" i="14" l="1"/>
  <c r="AW16" i="14"/>
  <c r="Y21" i="14"/>
  <c r="S21" i="14"/>
  <c r="AO17" i="14"/>
  <c r="O21" i="14"/>
  <c r="AA21" i="14"/>
  <c r="U17" i="14"/>
  <c r="AC21" i="14"/>
  <c r="AM16" i="14"/>
  <c r="AI16" i="14"/>
  <c r="AG16" i="14"/>
  <c r="AO16" i="14"/>
  <c r="AA16" i="14"/>
  <c r="U16" i="14"/>
  <c r="O16" i="14"/>
  <c r="AU16" i="14"/>
  <c r="Q16" i="14"/>
  <c r="AK21" i="14"/>
  <c r="AM21" i="14"/>
  <c r="AI21" i="14"/>
  <c r="AC16" i="14"/>
  <c r="W16" i="14"/>
  <c r="AE21" i="14"/>
  <c r="AU21" i="14"/>
  <c r="AW21" i="14"/>
  <c r="AK16" i="14"/>
  <c r="AE16" i="14"/>
  <c r="Y17" i="14"/>
  <c r="AU17" i="14"/>
  <c r="W23" i="14"/>
  <c r="J13" i="12"/>
  <c r="Y9" i="14"/>
  <c r="AI23" i="14"/>
  <c r="U23" i="14"/>
  <c r="AA17" i="14"/>
  <c r="AG17" i="14"/>
  <c r="AK17" i="14"/>
  <c r="AE17" i="14"/>
  <c r="L22" i="14"/>
  <c r="AU23" i="14"/>
  <c r="AE23" i="14"/>
  <c r="AW23" i="14"/>
  <c r="AG23" i="14"/>
  <c r="J7" i="12"/>
  <c r="O9" i="14"/>
  <c r="AC9" i="14"/>
  <c r="AI17" i="14"/>
  <c r="Q17" i="14"/>
  <c r="AC17" i="14"/>
  <c r="W17" i="14"/>
  <c r="O23" i="14"/>
  <c r="S23" i="14"/>
  <c r="AK23" i="14"/>
  <c r="Q9" i="14"/>
  <c r="AE9" i="14"/>
  <c r="S17" i="14"/>
  <c r="AQ17" i="14"/>
  <c r="AW17" i="14"/>
  <c r="AS17" i="14"/>
  <c r="Q23" i="14"/>
  <c r="AQ23" i="14"/>
  <c r="AA23" i="14"/>
  <c r="AS23" i="14"/>
  <c r="S9" i="14"/>
  <c r="AI9" i="14"/>
  <c r="AK9" i="14"/>
  <c r="AI18" i="14"/>
  <c r="AQ18" i="14"/>
  <c r="Q18" i="14"/>
  <c r="AC18" i="14"/>
  <c r="O18" i="14"/>
  <c r="AW18" i="14"/>
  <c r="L13" i="14"/>
  <c r="AW9" i="14"/>
  <c r="W9" i="14"/>
  <c r="AM9" i="14"/>
  <c r="U9" i="14"/>
  <c r="AO18" i="14"/>
  <c r="AG18" i="14"/>
  <c r="AK18" i="14"/>
  <c r="W18" i="14"/>
  <c r="AG9" i="14"/>
  <c r="AA9" i="14"/>
  <c r="AQ9" i="14"/>
  <c r="AO9" i="14"/>
  <c r="AS9" i="14"/>
  <c r="S18" i="14"/>
  <c r="Y18" i="14"/>
  <c r="AS18" i="14"/>
  <c r="AE18" i="14"/>
  <c r="L7" i="14"/>
  <c r="AI19" i="14"/>
  <c r="AA19" i="14"/>
  <c r="U19" i="14"/>
  <c r="AG21" i="14"/>
  <c r="W21" i="14"/>
  <c r="U21" i="14"/>
  <c r="AS21" i="14"/>
  <c r="AO21" i="14"/>
  <c r="L20" i="14"/>
  <c r="AO19" i="14"/>
  <c r="AU19" i="14"/>
  <c r="AM19" i="14"/>
  <c r="AC19" i="14"/>
  <c r="AE19" i="14"/>
  <c r="AQ19" i="14"/>
  <c r="W19" i="14"/>
  <c r="S19" i="14"/>
  <c r="AG19" i="14"/>
  <c r="O19" i="14"/>
  <c r="AW19" i="14"/>
  <c r="AK19" i="14"/>
  <c r="AU14" i="14"/>
  <c r="AC14" i="14"/>
  <c r="AM14" i="14"/>
  <c r="AE14" i="14"/>
  <c r="AS14" i="14"/>
  <c r="W14" i="14"/>
  <c r="O14" i="14"/>
  <c r="AC23" i="14" l="1"/>
  <c r="AM23" i="14"/>
  <c r="Y23" i="14"/>
  <c r="X5" i="14" s="1"/>
  <c r="AO23" i="14"/>
  <c r="J29" i="12"/>
  <c r="P5" i="14"/>
  <c r="AL5" i="14"/>
  <c r="L29" i="14"/>
  <c r="J31" i="12"/>
  <c r="AJ5" i="14"/>
  <c r="AT5" i="14"/>
  <c r="AN5" i="14"/>
  <c r="Z5" i="14"/>
  <c r="V5" i="14"/>
  <c r="AP5" i="14"/>
  <c r="AV5" i="14"/>
  <c r="AD5" i="14"/>
  <c r="AB5" i="14"/>
  <c r="T5" i="14"/>
  <c r="N5" i="14"/>
  <c r="AH5" i="14"/>
  <c r="AR5" i="14"/>
  <c r="R5" i="14"/>
  <c r="AF5" i="14"/>
</calcChain>
</file>

<file path=xl/sharedStrings.xml><?xml version="1.0" encoding="utf-8"?>
<sst xmlns="http://schemas.openxmlformats.org/spreadsheetml/2006/main" count="934" uniqueCount="275">
  <si>
    <t>Escopo</t>
  </si>
  <si>
    <t>Carga em caminhão basculante</t>
  </si>
  <si>
    <t>Aberura e Preparo de base e=10cm</t>
  </si>
  <si>
    <t>Execução de mini guia</t>
  </si>
  <si>
    <t>Execução de restauração de pedra portuguesa</t>
  </si>
  <si>
    <t>Unid</t>
  </si>
  <si>
    <t>Quant</t>
  </si>
  <si>
    <t>MAT</t>
  </si>
  <si>
    <t>M.O</t>
  </si>
  <si>
    <t>m²</t>
  </si>
  <si>
    <t>m³</t>
  </si>
  <si>
    <t>Bota fora de material com caminhão basculante 14m³ com CTR</t>
  </si>
  <si>
    <t>CHP</t>
  </si>
  <si>
    <t>TAB. REF</t>
  </si>
  <si>
    <t>COD</t>
  </si>
  <si>
    <t>SINAPI</t>
  </si>
  <si>
    <t>05-11-00</t>
  </si>
  <si>
    <t>SEINFRA-SP</t>
  </si>
  <si>
    <t>05-47-00</t>
  </si>
  <si>
    <t>05-16-00</t>
  </si>
  <si>
    <t>m</t>
  </si>
  <si>
    <t>Execução de intertravado modelo retangular 6cm</t>
  </si>
  <si>
    <t>Execução de intertravado modelo retangular 6cm - colorido</t>
  </si>
  <si>
    <t>Base em bica corrida</t>
  </si>
  <si>
    <t>11-09-00</t>
  </si>
  <si>
    <t>Motoniveladora espalhamento pó de pedra</t>
  </si>
  <si>
    <t>h</t>
  </si>
  <si>
    <t>Total</t>
  </si>
  <si>
    <t>Total Sem BDI</t>
  </si>
  <si>
    <t>Total com BDI</t>
  </si>
  <si>
    <t>01. Serviços preliminares</t>
  </si>
  <si>
    <t>Canteiro de orbas - Almoxarifado e espaços</t>
  </si>
  <si>
    <t>02. Preparo de base</t>
  </si>
  <si>
    <t>03. Execução Pavimentação</t>
  </si>
  <si>
    <t>03-29-00</t>
  </si>
  <si>
    <t>Engenheiro pleno</t>
  </si>
  <si>
    <t>03-51-00</t>
  </si>
  <si>
    <t>Técnico nível médio</t>
  </si>
  <si>
    <t>05. Equipe Técnica</t>
  </si>
  <si>
    <t>01.Elaboração de Projetos</t>
  </si>
  <si>
    <t>20-03-61</t>
  </si>
  <si>
    <t>Projeto Executivo A1</t>
  </si>
  <si>
    <t xml:space="preserve">Un </t>
  </si>
  <si>
    <t>103689</t>
  </si>
  <si>
    <t>Placa de Obra</t>
  </si>
  <si>
    <t>COMPOSIÇÃO 01</t>
  </si>
  <si>
    <t>08-49-00</t>
  </si>
  <si>
    <t>Demolição mecanizada de concreto simples e remoção
 com reaproveitamento de pedra portuguesa</t>
  </si>
  <si>
    <t>Execução ladrilho hidráulico</t>
  </si>
  <si>
    <t>04. Isolamento e Sinalização</t>
  </si>
  <si>
    <t>37525</t>
  </si>
  <si>
    <t xml:space="preserve">Tela plastica laranja e branco </t>
  </si>
  <si>
    <t>34</t>
  </si>
  <si>
    <t>Aço 10mm Vergalhão</t>
  </si>
  <si>
    <t>kg</t>
  </si>
  <si>
    <t>12-12-00</t>
  </si>
  <si>
    <t>Encarregado de obras</t>
  </si>
  <si>
    <t>Demolição de Piso e concreto sem reaproveitamento</t>
  </si>
  <si>
    <t>Ladrilho Hidráulico - Rua Principal</t>
  </si>
  <si>
    <t>Recomp. Pedra Portuguesa - Etapa I</t>
  </si>
  <si>
    <t>Execução intertravado - Etapa II</t>
  </si>
  <si>
    <t>CEMITÉRIO SAUDADE - LOTE 02</t>
  </si>
  <si>
    <t>DESCRIÇÃO</t>
  </si>
  <si>
    <t>ENGENHEIRO/ ARQUITETO  PLENO</t>
  </si>
  <si>
    <t>TÉCNICO - NÍVEL MÉDIO</t>
  </si>
  <si>
    <t>ENCARREGADO</t>
  </si>
  <si>
    <t>17-04-01</t>
  </si>
  <si>
    <t>LIMPEZA GERAL DA OBRA</t>
  </si>
  <si>
    <t>FORNECIMENTO E INSTALAÇÃO DE PLACA DE OBRA COM CHAPA GALVANIZADA E ESTRUTURA DE MADEIRA. AF_03/2022_PS</t>
  </si>
  <si>
    <t>Fonte</t>
  </si>
  <si>
    <t>Código</t>
  </si>
  <si>
    <t>Descrição</t>
  </si>
  <si>
    <t>Qtde</t>
  </si>
  <si>
    <t>Valor Onerado</t>
  </si>
  <si>
    <t>Valor Total</t>
  </si>
  <si>
    <t>DEMOLIÇÃO MECANIZADA DE CONCRETO SIMPLES E REMOÇÃO COM REAPROVEITAMENTO DE PEDRA
PORTUGUESA</t>
  </si>
  <si>
    <t>88316</t>
  </si>
  <si>
    <t>5795</t>
  </si>
  <si>
    <t>5952</t>
  </si>
  <si>
    <t>90972</t>
  </si>
  <si>
    <t>SERVENTE COM ENCARGOS COMPLEMENTARES</t>
  </si>
  <si>
    <t>COEF.</t>
  </si>
  <si>
    <t>MARTELETE OU ROMPEDOR PNEUMÁTICO MANUAL, 28 KG, COM SILENCIADOR - CHP DIURNO. AF_07/2016</t>
  </si>
  <si>
    <t>MARTELETE OU ROMPEDOR PNEUMÁTICO MANUAL, 28 KG, COM SILENCIADOR - CHI DIURNO. AF_07/2016</t>
  </si>
  <si>
    <t>COMPRESSOR DE AR REBOCAVEL, VAZÃO 250 PCM, PRESSAO DE TRABALHO 102 PSI, MOTOR A DIESEL POTÊNCIA 
81 CV - CHP DIURNO. AF_06/2015</t>
  </si>
  <si>
    <t>M³</t>
  </si>
  <si>
    <t>chp</t>
  </si>
  <si>
    <t>chi</t>
  </si>
  <si>
    <t>CAMINHÃO BASCULANTE 14 M3, COM CAVALO MECÂNICO DE CAPACIDADE MÁXIMA DE TRAÇÃO COMBINADO DE 36000 KG, POTÊNCIA 286 CV, INCLUSIVE SEMIREBOQUE COM CAÇAMBA METÁLICA - CHP DIURNO. AF_12/2014</t>
  </si>
  <si>
    <t>Valor Unitário
 sem BDI (R$)</t>
  </si>
  <si>
    <t>FONTE</t>
  </si>
  <si>
    <t>2.1</t>
  </si>
  <si>
    <t>2.3</t>
  </si>
  <si>
    <t>2.4</t>
  </si>
  <si>
    <t>2.5</t>
  </si>
  <si>
    <t>2.6</t>
  </si>
  <si>
    <t>3.1</t>
  </si>
  <si>
    <t>3.2</t>
  </si>
  <si>
    <t>4.1</t>
  </si>
  <si>
    <t>5.1</t>
  </si>
  <si>
    <t>6.1</t>
  </si>
  <si>
    <t>6.2</t>
  </si>
  <si>
    <t xml:space="preserve">ITEM </t>
  </si>
  <si>
    <t>CÓDIGO</t>
  </si>
  <si>
    <t>Valor Unitário
com BDI (R$)</t>
  </si>
  <si>
    <t>BDI OBRAS</t>
  </si>
  <si>
    <t>BDI PROJETOS</t>
  </si>
  <si>
    <t>FONTEM PRINCIPAL</t>
  </si>
  <si>
    <t>VALOR TOTAL 
COM BDI EM R$*</t>
  </si>
  <si>
    <t>DATA REFERÊNCIA</t>
  </si>
  <si>
    <t>PLANILHA ORÇAMENTÁRIA</t>
  </si>
  <si>
    <t>SINAPI
NÃO DESONERADO</t>
  </si>
  <si>
    <t>Total COM BDI</t>
  </si>
  <si>
    <t>DEMOLIÇÃO MECANIZADA DE CONCRETO SIMPLES E REMOÇÃO COM REAPROVEITAMENTO DE PEDRA PORTUGUESA</t>
  </si>
  <si>
    <t>*</t>
  </si>
  <si>
    <t>90084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</si>
  <si>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</si>
  <si>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>100976</t>
  </si>
  <si>
    <t>CARGA, MANOBRA E DESCARGA DE SOLOS E MATERIAIS GRANULARES EM CAMINHÃO BASCULANTE 18 M³ - CARGA COM PÁ CARREGADEIRA (CAÇAMBA DE 1,7 A 2,8 M³ / 128 HP) E DESCARGA LIVRE (UNIDADE: M3). AF_07/2020</t>
  </si>
  <si>
    <t>89876</t>
  </si>
  <si>
    <t>3. ASSENTAMENTO DAS PEÇAS</t>
  </si>
  <si>
    <t>90940</t>
  </si>
  <si>
    <t>CONTRAPISO ACÚSTICO EM ARGAMASSA TRAÇO 1:4 (CIMENTO E AREIA), PREPARO MECÂNICO COM BETONEIRA 400L, APLICADO EM ÁREAS SECAS, ACABAMENTO NÃO REFORÇADO, ESPESSURA 6CM. AF_07/2021</t>
  </si>
  <si>
    <t>97114</t>
  </si>
  <si>
    <t>EXECUÇÃO DE JUNTAS DE CONTRAÇÃO PARA PAVIMENTOS DE CONCRETO. AF_04/2022</t>
  </si>
  <si>
    <t>93368</t>
  </si>
  <si>
    <t>REATERRO MECANIZADO DE VALA COM ESCAVADEIRA HIDRÁULICA (CAPACIDADE DA CAÇAMBA: 0,8 M³/POTÊNCIA: 111 HP), LARGURA ATÉ 1,5 M, PROFUNDIDADE DE 1,5 A 3,0 M, COM SOLO (SEM SUBSTITUIÇÃO) DE 1ª CATEGORIA, COM COMPACTADOR DE SOLOS DE PERCUSSÃO. AF_08/2023</t>
  </si>
  <si>
    <t xml:space="preserve">un </t>
  </si>
  <si>
    <t>5. Limpeza geral da obra</t>
  </si>
  <si>
    <t>6. Equipe Técnica</t>
  </si>
  <si>
    <t>6.3</t>
  </si>
  <si>
    <t>2. Serviços preliminares - SEPULTURAS ENTERRADAS (x700)</t>
  </si>
  <si>
    <t>COLETADO</t>
  </si>
  <si>
    <t>SETEC01</t>
  </si>
  <si>
    <t>Custo por unidade</t>
  </si>
  <si>
    <t>Coletado</t>
  </si>
  <si>
    <t>00</t>
  </si>
  <si>
    <t>Mão de obra montagem pré fabricado</t>
  </si>
  <si>
    <t>97101</t>
  </si>
  <si>
    <t>EXECUÇÃO DE RADIER, ESPESSURA DE 10 CM, FCK = 30 MPA, COM USO DE FORMAS EM MADEIRA SERRADA. AF_09/2021</t>
  </si>
  <si>
    <t>102088</t>
  </si>
  <si>
    <t>FABRICAÇÃO DE FÔRMA PARA ESCADA DUPLA COM 2 LANCES EM X E LAJE PLANA, EM MADEIRA SERRADA, E=25 MM. AF_11/2020</t>
  </si>
  <si>
    <t>3.3</t>
  </si>
  <si>
    <t>3.4</t>
  </si>
  <si>
    <t>3.5</t>
  </si>
  <si>
    <t>PLANTIO DE GRAMA ESMERALDA OU SÃO CARLOS OU CURITIBANA, EM PLACAS. AF_07/2024</t>
  </si>
  <si>
    <t>R$/Unid</t>
  </si>
  <si>
    <t>Mão de obra montagem pré fabricado em ardosia (conforme projeto SETEC)</t>
  </si>
  <si>
    <t>PEÇAS PRÉ FABRICADAS SEPULTURAS (em ardosia, conforme projeto)</t>
  </si>
  <si>
    <t>3.6</t>
  </si>
  <si>
    <t>3.7</t>
  </si>
  <si>
    <t>104316</t>
  </si>
  <si>
    <t>TUBO, PVC, SOLDÁVEL, DE 32MM, INSTALADO EM DRENO DE AR CONDICIONADO - FORNECIMENTO E INSTALAÇÃO. AF_08/2022</t>
  </si>
  <si>
    <t>91599</t>
  </si>
  <si>
    <t>ARMAÇÃO DO SISTEMA DE PAREDES DE CONCRETO, EXECUTADA COMO ARMADURA NEGATIVA DE LAJES, TELA L-159. AF_12/2024</t>
  </si>
  <si>
    <t>CONCRETAGEM DE EDIFICAÇÕES (PAREDES E LAJES) FEITAS COM SISTEMA DE FÔRMAS MANUSEÁVEIS, COM CONCRETO USINADO AUTOADENSÁVEL FCK 25 MPA - LANÇAMENTO E ACABAMENTO. AF_09/2024</t>
  </si>
  <si>
    <t>Mão de obra montagem pré fabricado, EM ARDOSIA, CONFORME PROJETO SETEC</t>
  </si>
  <si>
    <t>LÓCULOS</t>
  </si>
  <si>
    <t>LOCULOS</t>
  </si>
  <si>
    <t>20.003.004</t>
  </si>
  <si>
    <t>03.051.000</t>
  </si>
  <si>
    <t>12.012.000</t>
  </si>
  <si>
    <t>101617</t>
  </si>
  <si>
    <t>PREPARO DE FUNDO DE VALA COM LARGURA MAIOR OU IGUAL A 1,5 M E MENOR QUE 2,5 M (ACERTO DO SOLO NATURAL). AF_08/2020</t>
  </si>
  <si>
    <t>97083</t>
  </si>
  <si>
    <t>COMPACTAÇÃO MECÂNICA DE SOLO PARA EXECUÇÃO DE RADIER, PISO DE CONCRETO OU LAJE SOBRE SOLO, COM COMPACTADOR DE SOLOS A PERCUSSÃO. AF_09/2021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</si>
  <si>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</si>
  <si>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</si>
  <si>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</si>
  <si>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</si>
  <si>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</si>
  <si>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</si>
  <si>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</si>
  <si>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</si>
  <si>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</si>
  <si>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</si>
  <si>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</si>
  <si>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</si>
  <si>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%</t>
  </si>
  <si>
    <t>R$</t>
  </si>
  <si>
    <t>1.1</t>
  </si>
  <si>
    <t>1.2</t>
  </si>
  <si>
    <t>1.3</t>
  </si>
  <si>
    <t>1.4</t>
  </si>
  <si>
    <t>1.5</t>
  </si>
  <si>
    <t>2. ASSENTAMENTO DAS PEÇAS</t>
  </si>
  <si>
    <t>2. PREPARO E ASSENTAMENTO DAS PEÇAS</t>
  </si>
  <si>
    <t>2.2</t>
  </si>
  <si>
    <t>3. Plantio de grama</t>
  </si>
  <si>
    <t>4. Limpeza geral da obra</t>
  </si>
  <si>
    <t>5. Equipe Técnica</t>
  </si>
  <si>
    <t>5.2</t>
  </si>
  <si>
    <t>5.3</t>
  </si>
  <si>
    <t>Mês 13</t>
  </si>
  <si>
    <t>Mês 14</t>
  </si>
  <si>
    <t>Mês 15</t>
  </si>
  <si>
    <t>Mês 16</t>
  </si>
  <si>
    <t>Mês 17</t>
  </si>
  <si>
    <t>Mês 18</t>
  </si>
  <si>
    <t>1. Serviços preliminares - SEPULTURAS ENTERRADAS</t>
  </si>
  <si>
    <t>CRONOGRAMA FÍSICO - FINANCEIRO -   CONSTRUÇÃO DE SEPULTURAS NO CEMITÉRIO NOSSA SENHORA DA CONCEIÇÃO - CAMPINAS - SP</t>
  </si>
  <si>
    <t>CONSTRUÇÃO DE SEPULTURAS NO CEMITÉRIO NOSSA SENHORA DA CONCEIÇÃO - CAMPINAS - SP</t>
  </si>
  <si>
    <t>Tipo Item</t>
  </si>
  <si>
    <t>Código do
Item</t>
  </si>
  <si>
    <t>Unidade</t>
  </si>
  <si>
    <t>Coeficiente</t>
  </si>
  <si>
    <t>Custo
Unit.</t>
  </si>
  <si>
    <t>Custo
Total</t>
  </si>
  <si>
    <t>M2</t>
  </si>
  <si>
    <t>COMPOSICAO</t>
  </si>
  <si>
    <t>PINTURA IMUNIZANTE PARA MADEIRA, 2 DEMÃOS. AF_01/2021</t>
  </si>
  <si>
    <t>H</t>
  </si>
  <si>
    <t>CARPINTEIRO DE FORMAS COM ENCARGOS COMPLEMENTARES</t>
  </si>
  <si>
    <t>INSUMO</t>
  </si>
  <si>
    <t>PREGO DE ACO POLIDO COM CABECA 17 X 27 (2 1/2 X 11)</t>
  </si>
  <si>
    <t>KG</t>
  </si>
  <si>
    <t>PREGO DE ACO POLIDO COM CABECA 10 X 10 (7/8 X 17)</t>
  </si>
  <si>
    <t>PLACA DE OBRA (PARA CONSTRUCAO CIVIL) EM CHAPA GALVANIZADA *N. 22*, ADESIVADA, DE *2,4 X 1,2* M (SEM POSTES PARA FIXACAO)</t>
  </si>
  <si>
    <t>SARRAFO *2,5 X 10* CM EM PINUS, MISTA OU EQUIVALENTE DA REGIAO - BRUTA</t>
  </si>
  <si>
    <t>M</t>
  </si>
  <si>
    <t>ESCAVAÇÃO MECANIZADA DE VALA COM PROF. MAIOR QUE 1,5 M ATÉ 3,0 M (MÉDIA MONTANTE E JUSANTE/UMA COMPOSIÇÃO POR TRECHO), ESCAVADEIRA (0,8 M3), LARGURA ATÉ 1,5 M, EM SOLO DE 1A CATEGORIA, EM LOCAIS COM ALTO NÍVEL DE INTERFERÊNCIA. AF_09/2024</t>
  </si>
  <si>
    <t>M3</t>
  </si>
  <si>
    <t>ESCAVADEIRA HIDRÁULICA SOBRE ESTEIRAS, CAÇAMBA 0,80 M3, PESO OPERACIONAL 17 T, POTENCIA BRUTA 111 HP - CHI DIURNO. AF_06/2014</t>
  </si>
  <si>
    <t>CHI</t>
  </si>
  <si>
    <t>ESCAVADEIRA HIDRÁULICA SOBRE ESTEIRAS, CAÇAMBA 0,80 M3, PESO OPERACIONAL 17 T, POTENCIA BRUTA 111 HP - CHP DIURNO. AF_06/2014</t>
  </si>
  <si>
    <t>CAMINHÃO BASCULANTE 18 M3, COM CAVALO MECÂNICO DE CAPACIDADE MÁXIMA DE TRAÇÃO COMBINADO DE 45000 KG, POTÊNCIA 330 CV, INCLUSIVE SEMIREBOQUE COM CAÇAMBA METÁLICA - CHI DIURNO. AF_12/2014</t>
  </si>
  <si>
    <t>CAMINHÃO BASCULANTE 18 M3, COM CAVALO MECÂNICO DE CAPACIDADE MÁXIMA DE TRAÇÃO COMBINADO DE 45000 KG, POTÊNCIA 330 CV, INCLUSIVE SEMIREBOQUE COM CAÇAMBA METÁLICA - CHP DIURNO. AF_12/2014</t>
  </si>
  <si>
    <t>PÁ CARREGADEIRA SOBRE RODAS, POTÊNCIA LÍQUIDA 128 HP, CAPACIDADE DA CAÇAMBA 1,7 A 2,8 M3, PESO OPERACIONAL 11632 KG - CHI DIURNO. AF_06/2014</t>
  </si>
  <si>
    <t>PÁ CARREGADEIRA SOBRE RODAS, POTÊNCIA LÍQUIDA 128 HP, CAPACIDADE DA CAÇAMBA 1,7 A 2,8 M3, PESO OPERACIONAL 11632 KG - CHP DIURNO. AF_06/2014</t>
  </si>
  <si>
    <t>CAMINHÃO BASCULANTE 14 M3, COM CAVALO MECÂNICO DE CAPACIDADE MÁXIMA DE TRAÇÃO COMBINADO DE 36000 KG, POTÊNCIA 286 CV, INCLUSIVE SEMIREBOQUE COM CAÇAMBA METÁLICA - MATERIAIS NA OPERAÇÃO. AF_12/2014</t>
  </si>
  <si>
    <t>CAMINHÃO BASCULANTE 14 M3, COM CAVALO MECÂNICO DE CAPACIDADE MÁXIMA DE TRAÇÃO COMBINADO DE 36000 KG, POTÊNCIA 286 CV, INCLUSIVE SEMIREBOQUE COM CAÇAMBA METÁLICA - MANUTENÇÃO. AF_12/2014</t>
  </si>
  <si>
    <t>CAMINHÃO BASCULANTE 14 M3, COM CAVALO MECÂNICO DE CAPACIDADE MÁXIMA DE TRAÇÃO COMBINADO DE 36000 KG, POTÊNCIA 286 CV, INCLUSIVE SEMIREBOQUE COM CAÇAMBA METÁLICA - IMPOSTOS E SEGUROS. AF_12/2014</t>
  </si>
  <si>
    <t>CAMINHÃO BASCULANTE 14 M3, COM CAVALO MECÂNICO DE CAPACIDADE MÁXIMA DE TRAÇÃO COMBINADO DE 36000 KG, POTÊNCIA 286 CV, INCLUSIVE SEMIREBOQUE COM CAÇAMBA METÁLICA - JUROS. AF_12/2014</t>
  </si>
  <si>
    <t>CAMINHÃO BASCULANTE 14 M3, COM CAVALO MECÂNICO DE CAPACIDADE MÁXIMA DE TRAÇÃO COMBINADO DE 36000 KG, POTÊNCIA 286 CV, INCLUSIVE SEMIREBOQUE COM CAÇAMBA METÁLICA - DEPRECIAÇÃO. AF_12/2014</t>
  </si>
  <si>
    <t>MOTORISTA DE BASCULANTE COM ENCARGOS COMPLEMENTARES</t>
  </si>
  <si>
    <t>COMPACTADOR DE SOLOS DE PERCUSSÃO (SOQUETE) COM MOTOR A GASOLINA 4 TEMPOS, POTÊNCIA 4 CV - CHI DIURNO. AF_08/2015</t>
  </si>
  <si>
    <t>COMPACTADOR DE SOLOS DE PERCUSSÃO (SOQUETE) COM MOTOR A GASOLINA 4 TEMPOS, POTÊNCIA 4 CV - CHP DIURNO. AF_08/2015</t>
  </si>
  <si>
    <t>PEDREIRO COM ENCARGOS COMPLEMENTARES</t>
  </si>
  <si>
    <t>COMPACTADOR DE SOLOS DE PERCUSÃO (SOQUETE) COM MOTOR A GASOLINA, POTÊNCIA 3 CV - CHI DIURNO. AF_09/2016</t>
  </si>
  <si>
    <t>COMPACTADOR DE SOLOS DE PERCUSÃO (SOQUETE) COM MOTOR A GASOLINA, POTÊNCIA 3 CV - CHP DIURNO. AF_09/2016</t>
  </si>
  <si>
    <t>ARGAMASSA TRAÇO 1:4 (EM VOLUME DE CIMENTO E AREIA MÉDIA ÚMIDA) PARA CONTRAPISO, PREPARO MECÂNICO COM BETONEIRA 400 L. AF_08/2019</t>
  </si>
  <si>
    <t>MANTA DE POLIETILENO EXPANDIDO (PEBD), E = 5 MM</t>
  </si>
  <si>
    <t>TELA DE ARAME GALVANIZADA, HEXAGONAL, FIO 0,56 MM (24 BWG), MALHA 1/2", H = 1 M</t>
  </si>
  <si>
    <t>CORTADORA DE PISO COM MOTOR 4 TEMPOS A GASOLINA, POTÊNCIA DE 13 HP, COM DISCO DE CORTE DIAMANTADO SEGMENTADO PARA CONCRETO, DIÂMETRO DE 350 MM, FURO DE 1" (14 X 1") - CHP DIURNO. AF_08/2015</t>
  </si>
  <si>
    <t>CAMINHÃO PIPA 10.000 L TRUCADO, PESO BRUTO TOTAL 23.000 KG, CARGA ÚTIL MÁXIMA 15.935 KG, DISTÂNCIA ENTRE EIXOS 4,8 M, POTÊNCIA 230 CV, INCLUSIVE TANQUE DE AÇO PARA TRANSPORTE DE ÁGUA - CHI DIURNO. AF_06/2014</t>
  </si>
  <si>
    <t>CAMINHÃO PIPA 10.000 L TRUCADO, PESO BRUTO TOTAL 23.000 KG, CARGA ÚTIL MÁXIMA 15.935 KG, DISTÂNCIA ENTRE EIXOS 4,8 M, POTÊNCIA 230 CV, INCLUSIVE TANQUE DE AÇO PARA TRANSPORTE DE ÁGUA - CHP DIURNO. AF_06/2014</t>
  </si>
  <si>
    <t>JARDINEIRO COM ENCARGOS COMPLEMENTARES</t>
  </si>
  <si>
    <t>GRAMA ESMERALDA OU SAO CARLOS OU CURITIBANA, EM PLACAS, SEM PLANTIO</t>
  </si>
  <si>
    <t>SERVENTE (SGSP)</t>
  </si>
  <si>
    <t>SEINFRA-EDIF</t>
  </si>
  <si>
    <t>ENGENHEIRO/ ARQUITETO PLENO</t>
  </si>
  <si>
    <t>ENGENHEIRO/ ARQUITETO PLENO - DE 5 A 15 ANOS DE EXPERIÊNCIA (SGSP)</t>
  </si>
  <si>
    <t>TÉCNICO - NÍVEL MÉDIO (FORMAÇÃO EM EDIFICAÇÕES OU CONSTRUÇÃO CIVIL) (SGSP)</t>
  </si>
  <si>
    <t>SEINFRA-INFRA</t>
  </si>
  <si>
    <t>ENCARREGADO DE OBRA (SGSP)</t>
  </si>
  <si>
    <t>CPU - SINAPI 05/2025  I  SEINFRA EDIF/INFRA JAN/2025</t>
  </si>
  <si>
    <t>FONTE PRINCIPAL</t>
  </si>
  <si>
    <t>Mês 19</t>
  </si>
  <si>
    <t>Mês 20</t>
  </si>
  <si>
    <t>Mês 21</t>
  </si>
  <si>
    <t>Mês 22</t>
  </si>
  <si>
    <t>Mês 23</t>
  </si>
  <si>
    <t>Mês 24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</si>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</sst>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0\-00\-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9" tint="0.59999389629810485"/>
      <name val="Calibri"/>
      <family val="2"/>
      <scheme val="minor"/>
    </font>
    <font>
      <b/>
      <sz val="10"/>
      <color rgb="FFFFFFFF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131">
    <xf numFmtId="0" fontId="0" fillId="0" borderId="0" xfId="0"/>
    <xf numFmtId="43" fontId="0" fillId="0" borderId="1" xfId="1" applyFont="1" applyBorder="1"/>
    <xf numFmtId="43" fontId="0" fillId="0" borderId="3" xfId="1" applyFont="1" applyBorder="1" applyAlignment="1">
      <alignment horizontal="left"/>
    </xf>
    <xf numFmtId="43" fontId="0" fillId="0" borderId="0" xfId="1" applyFont="1"/>
    <xf numFmtId="9" fontId="2" fillId="0" borderId="1" xfId="1" applyNumberFormat="1" applyFont="1" applyBorder="1" applyAlignment="1">
      <alignment horizontal="right"/>
    </xf>
    <xf numFmtId="43" fontId="2" fillId="2" borderId="1" xfId="1" applyFont="1" applyFill="1" applyBorder="1"/>
    <xf numFmtId="43" fontId="2" fillId="2" borderId="2" xfId="1" applyFont="1" applyFill="1" applyBorder="1"/>
    <xf numFmtId="43" fontId="2" fillId="2" borderId="3" xfId="1" applyFont="1" applyFill="1" applyBorder="1"/>
    <xf numFmtId="43" fontId="2" fillId="2" borderId="4" xfId="1" applyFont="1" applyFill="1" applyBorder="1"/>
    <xf numFmtId="49" fontId="2" fillId="2" borderId="1" xfId="1" applyNumberFormat="1" applyFont="1" applyFill="1" applyBorder="1" applyAlignment="1">
      <alignment horizontal="left"/>
    </xf>
    <xf numFmtId="49" fontId="0" fillId="0" borderId="1" xfId="1" applyNumberFormat="1" applyFont="1" applyBorder="1" applyAlignment="1">
      <alignment horizontal="left"/>
    </xf>
    <xf numFmtId="49" fontId="2" fillId="2" borderId="3" xfId="1" applyNumberFormat="1" applyFont="1" applyFill="1" applyBorder="1" applyAlignment="1">
      <alignment horizontal="left"/>
    </xf>
    <xf numFmtId="49" fontId="0" fillId="0" borderId="0" xfId="1" applyNumberFormat="1" applyFont="1" applyAlignment="1">
      <alignment horizontal="left"/>
    </xf>
    <xf numFmtId="43" fontId="0" fillId="0" borderId="1" xfId="1" applyFont="1" applyBorder="1" applyAlignment="1">
      <alignment horizontal="left"/>
    </xf>
    <xf numFmtId="43" fontId="0" fillId="0" borderId="1" xfId="1" applyFont="1" applyBorder="1" applyAlignment="1">
      <alignment wrapText="1"/>
    </xf>
    <xf numFmtId="43" fontId="0" fillId="3" borderId="1" xfId="1" applyFont="1" applyFill="1" applyBorder="1"/>
    <xf numFmtId="43" fontId="0" fillId="0" borderId="0" xfId="0" applyNumberFormat="1"/>
    <xf numFmtId="43" fontId="0" fillId="0" borderId="1" xfId="1" applyFont="1" applyFill="1" applyBorder="1"/>
    <xf numFmtId="49" fontId="0" fillId="0" borderId="1" xfId="1" applyNumberFormat="1" applyFont="1" applyFill="1" applyBorder="1" applyAlignment="1">
      <alignment horizontal="left"/>
    </xf>
    <xf numFmtId="43" fontId="0" fillId="0" borderId="1" xfId="1" applyFont="1" applyFill="1" applyBorder="1" applyAlignment="1">
      <alignment horizontal="left"/>
    </xf>
    <xf numFmtId="43" fontId="0" fillId="0" borderId="1" xfId="1" applyFont="1" applyFill="1" applyBorder="1" applyAlignment="1">
      <alignment wrapText="1"/>
    </xf>
    <xf numFmtId="43" fontId="0" fillId="0" borderId="2" xfId="1" applyFont="1" applyFill="1" applyBorder="1" applyAlignment="1">
      <alignment horizontal="left"/>
    </xf>
    <xf numFmtId="43" fontId="0" fillId="0" borderId="2" xfId="1" applyFont="1" applyFill="1" applyBorder="1"/>
    <xf numFmtId="43" fontId="0" fillId="0" borderId="0" xfId="1" applyFont="1" applyBorder="1"/>
    <xf numFmtId="0" fontId="0" fillId="0" borderId="1" xfId="0" applyBorder="1"/>
    <xf numFmtId="0" fontId="0" fillId="0" borderId="2" xfId="0" applyBorder="1"/>
    <xf numFmtId="43" fontId="2" fillId="4" borderId="3" xfId="1" applyFont="1" applyFill="1" applyBorder="1" applyAlignment="1"/>
    <xf numFmtId="43" fontId="2" fillId="4" borderId="1" xfId="1" applyFont="1" applyFill="1" applyBorder="1" applyAlignment="1"/>
    <xf numFmtId="49" fontId="2" fillId="4" borderId="7" xfId="1" applyNumberFormat="1" applyFont="1" applyFill="1" applyBorder="1" applyAlignment="1">
      <alignment horizontal="left"/>
    </xf>
    <xf numFmtId="43" fontId="2" fillId="4" borderId="7" xfId="1" applyFont="1" applyFill="1" applyBorder="1"/>
    <xf numFmtId="43" fontId="2" fillId="4" borderId="7" xfId="1" applyFont="1" applyFill="1" applyBorder="1" applyAlignment="1">
      <alignment horizontal="left"/>
    </xf>
    <xf numFmtId="43" fontId="2" fillId="4" borderId="8" xfId="1" applyFont="1" applyFill="1" applyBorder="1"/>
    <xf numFmtId="43" fontId="2" fillId="4" borderId="1" xfId="1" applyFont="1" applyFill="1" applyBorder="1"/>
    <xf numFmtId="49" fontId="2" fillId="2" borderId="1" xfId="1" applyNumberFormat="1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 wrapText="1"/>
    </xf>
    <xf numFmtId="10" fontId="2" fillId="4" borderId="1" xfId="2" applyNumberFormat="1" applyFont="1" applyFill="1" applyBorder="1" applyAlignment="1">
      <alignment horizontal="center"/>
    </xf>
    <xf numFmtId="17" fontId="2" fillId="4" borderId="1" xfId="1" applyNumberFormat="1" applyFont="1" applyFill="1" applyBorder="1" applyAlignment="1">
      <alignment horizontal="center"/>
    </xf>
    <xf numFmtId="43" fontId="2" fillId="0" borderId="1" xfId="1" applyFont="1" applyBorder="1"/>
    <xf numFmtId="43" fontId="0" fillId="0" borderId="8" xfId="1" applyFont="1" applyBorder="1"/>
    <xf numFmtId="49" fontId="0" fillId="0" borderId="5" xfId="1" applyNumberFormat="1" applyFont="1" applyBorder="1" applyAlignment="1">
      <alignment horizontal="left"/>
    </xf>
    <xf numFmtId="43" fontId="0" fillId="0" borderId="5" xfId="1" applyFont="1" applyBorder="1"/>
    <xf numFmtId="43" fontId="0" fillId="0" borderId="10" xfId="1" applyFont="1" applyBorder="1"/>
    <xf numFmtId="43" fontId="0" fillId="0" borderId="11" xfId="1" applyFont="1" applyBorder="1"/>
    <xf numFmtId="49" fontId="0" fillId="0" borderId="0" xfId="1" applyNumberFormat="1" applyFont="1" applyBorder="1" applyAlignment="1">
      <alignment horizontal="left"/>
    </xf>
    <xf numFmtId="43" fontId="0" fillId="0" borderId="6" xfId="1" applyFont="1" applyBorder="1"/>
    <xf numFmtId="43" fontId="0" fillId="0" borderId="12" xfId="1" applyFont="1" applyBorder="1"/>
    <xf numFmtId="49" fontId="0" fillId="0" borderId="9" xfId="1" applyNumberFormat="1" applyFont="1" applyBorder="1" applyAlignment="1">
      <alignment horizontal="left"/>
    </xf>
    <xf numFmtId="43" fontId="0" fillId="0" borderId="9" xfId="1" applyFont="1" applyBorder="1"/>
    <xf numFmtId="43" fontId="0" fillId="0" borderId="13" xfId="1" applyFont="1" applyBorder="1"/>
    <xf numFmtId="49" fontId="2" fillId="4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left" wrapText="1"/>
    </xf>
    <xf numFmtId="43" fontId="2" fillId="4" borderId="3" xfId="1" applyFont="1" applyFill="1" applyBorder="1" applyAlignment="1">
      <alignment wrapText="1"/>
    </xf>
    <xf numFmtId="43" fontId="2" fillId="4" borderId="7" xfId="1" applyFont="1" applyFill="1" applyBorder="1" applyAlignment="1">
      <alignment wrapText="1"/>
    </xf>
    <xf numFmtId="43" fontId="0" fillId="0" borderId="0" xfId="1" applyFont="1" applyAlignment="1">
      <alignment wrapText="1"/>
    </xf>
    <xf numFmtId="43" fontId="2" fillId="2" borderId="1" xfId="1" applyFont="1" applyFill="1" applyBorder="1" applyAlignment="1">
      <alignment wrapText="1"/>
    </xf>
    <xf numFmtId="43" fontId="0" fillId="0" borderId="3" xfId="1" applyFont="1" applyBorder="1" applyAlignment="1">
      <alignment horizontal="left" wrapText="1"/>
    </xf>
    <xf numFmtId="43" fontId="2" fillId="2" borderId="3" xfId="1" applyFont="1" applyFill="1" applyBorder="1" applyAlignment="1">
      <alignment wrapText="1"/>
    </xf>
    <xf numFmtId="43" fontId="0" fillId="0" borderId="1" xfId="1" applyFont="1" applyBorder="1" applyAlignment="1">
      <alignment horizontal="left" wrapText="1"/>
    </xf>
    <xf numFmtId="43" fontId="0" fillId="0" borderId="5" xfId="1" applyFont="1" applyBorder="1" applyAlignment="1">
      <alignment wrapText="1"/>
    </xf>
    <xf numFmtId="43" fontId="0" fillId="0" borderId="0" xfId="1" applyFont="1" applyBorder="1" applyAlignment="1">
      <alignment wrapText="1"/>
    </xf>
    <xf numFmtId="43" fontId="0" fillId="0" borderId="9" xfId="1" applyFont="1" applyBorder="1" applyAlignment="1">
      <alignment wrapText="1"/>
    </xf>
    <xf numFmtId="43" fontId="2" fillId="0" borderId="1" xfId="1" applyFont="1" applyBorder="1" applyAlignment="1">
      <alignment horizontal="right"/>
    </xf>
    <xf numFmtId="43" fontId="2" fillId="2" borderId="1" xfId="1" applyFont="1" applyFill="1" applyBorder="1" applyAlignment="1">
      <alignment horizontal="center"/>
    </xf>
    <xf numFmtId="43" fontId="2" fillId="4" borderId="1" xfId="1" applyFont="1" applyFill="1" applyBorder="1" applyAlignment="1">
      <alignment horizontal="center" wrapText="1"/>
    </xf>
    <xf numFmtId="43" fontId="2" fillId="4" borderId="1" xfId="1" applyFont="1" applyFill="1" applyBorder="1" applyAlignment="1">
      <alignment horizontal="center"/>
    </xf>
    <xf numFmtId="43" fontId="7" fillId="0" borderId="1" xfId="1" applyFont="1" applyFill="1" applyBorder="1" applyAlignment="1">
      <alignment wrapText="1"/>
    </xf>
    <xf numFmtId="43" fontId="2" fillId="0" borderId="0" xfId="1" applyFont="1"/>
    <xf numFmtId="43" fontId="0" fillId="3" borderId="1" xfId="1" applyFont="1" applyFill="1" applyBorder="1" applyAlignment="1">
      <alignment horizontal="left"/>
    </xf>
    <xf numFmtId="0" fontId="0" fillId="0" borderId="0" xfId="1" applyNumberFormat="1" applyFont="1"/>
    <xf numFmtId="9" fontId="8" fillId="5" borderId="1" xfId="2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0" fontId="10" fillId="4" borderId="1" xfId="2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1" fillId="6" borderId="1" xfId="0" applyFont="1" applyFill="1" applyBorder="1" applyAlignment="1">
      <alignment horizontal="centerContinuous" vertical="center" wrapText="1"/>
    </xf>
    <xf numFmtId="0" fontId="11" fillId="6" borderId="1" xfId="0" applyFont="1" applyFill="1" applyBorder="1" applyAlignment="1">
      <alignment horizontal="center" vertical="center" wrapText="1"/>
    </xf>
    <xf numFmtId="4" fontId="12" fillId="0" borderId="0" xfId="0" applyNumberFormat="1" applyFont="1"/>
    <xf numFmtId="0" fontId="0" fillId="0" borderId="14" xfId="0" applyBorder="1"/>
    <xf numFmtId="0" fontId="0" fillId="0" borderId="14" xfId="0" applyBorder="1" applyAlignment="1">
      <alignment wrapText="1"/>
    </xf>
    <xf numFmtId="165" fontId="12" fillId="0" borderId="14" xfId="0" applyNumberFormat="1" applyFont="1" applyBorder="1" applyAlignment="1">
      <alignment horizontal="center"/>
    </xf>
    <xf numFmtId="43" fontId="2" fillId="4" borderId="1" xfId="1" applyFont="1" applyFill="1" applyBorder="1" applyAlignment="1">
      <alignment horizontal="right"/>
    </xf>
    <xf numFmtId="0" fontId="2" fillId="2" borderId="15" xfId="0" applyFont="1" applyFill="1" applyBorder="1"/>
    <xf numFmtId="0" fontId="2" fillId="2" borderId="15" xfId="0" applyFont="1" applyFill="1" applyBorder="1" applyAlignment="1">
      <alignment wrapText="1"/>
    </xf>
    <xf numFmtId="0" fontId="0" fillId="2" borderId="14" xfId="0" applyFill="1" applyBorder="1"/>
    <xf numFmtId="0" fontId="0" fillId="2" borderId="14" xfId="0" applyFill="1" applyBorder="1" applyAlignment="1">
      <alignment wrapText="1"/>
    </xf>
    <xf numFmtId="0" fontId="2" fillId="2" borderId="14" xfId="0" applyFont="1" applyFill="1" applyBorder="1"/>
    <xf numFmtId="0" fontId="2" fillId="2" borderId="14" xfId="0" applyFont="1" applyFill="1" applyBorder="1" applyAlignment="1">
      <alignment wrapText="1"/>
    </xf>
    <xf numFmtId="3" fontId="2" fillId="2" borderId="14" xfId="0" applyNumberFormat="1" applyFont="1" applyFill="1" applyBorder="1" applyAlignment="1">
      <alignment wrapText="1"/>
    </xf>
    <xf numFmtId="43" fontId="2" fillId="0" borderId="0" xfId="1" applyFont="1" applyAlignment="1">
      <alignment horizontal="right"/>
    </xf>
    <xf numFmtId="0" fontId="5" fillId="4" borderId="1" xfId="0" applyFont="1" applyFill="1" applyBorder="1" applyAlignment="1">
      <alignment horizontal="center" vertical="center"/>
    </xf>
    <xf numFmtId="43" fontId="5" fillId="4" borderId="1" xfId="1" applyFont="1" applyFill="1" applyBorder="1" applyAlignment="1">
      <alignment horizontal="center" vertical="center"/>
    </xf>
    <xf numFmtId="43" fontId="2" fillId="4" borderId="2" xfId="1" applyFont="1" applyFill="1" applyBorder="1" applyAlignment="1">
      <alignment horizontal="left"/>
    </xf>
    <xf numFmtId="43" fontId="2" fillId="4" borderId="3" xfId="1" applyFont="1" applyFill="1" applyBorder="1" applyAlignment="1">
      <alignment horizontal="left"/>
    </xf>
    <xf numFmtId="43" fontId="2" fillId="4" borderId="4" xfId="1" applyFont="1" applyFill="1" applyBorder="1" applyAlignment="1">
      <alignment horizontal="left"/>
    </xf>
    <xf numFmtId="43" fontId="0" fillId="0" borderId="2" xfId="1" applyFont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2" fillId="0" borderId="2" xfId="1" applyFont="1" applyBorder="1" applyAlignment="1">
      <alignment horizontal="right"/>
    </xf>
    <xf numFmtId="43" fontId="2" fillId="0" borderId="3" xfId="1" applyFont="1" applyBorder="1" applyAlignment="1">
      <alignment horizontal="right"/>
    </xf>
    <xf numFmtId="43" fontId="4" fillId="0" borderId="5" xfId="1" applyFont="1" applyBorder="1" applyAlignment="1"/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164" fontId="9" fillId="4" borderId="2" xfId="0" applyNumberFormat="1" applyFont="1" applyFill="1" applyBorder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/>
    </xf>
    <xf numFmtId="43" fontId="2" fillId="4" borderId="12" xfId="1" applyFont="1" applyFill="1" applyBorder="1" applyAlignment="1">
      <alignment horizontal="left"/>
    </xf>
    <xf numFmtId="43" fontId="2" fillId="4" borderId="9" xfId="1" applyFont="1" applyFill="1" applyBorder="1" applyAlignment="1">
      <alignment horizontal="left"/>
    </xf>
    <xf numFmtId="43" fontId="2" fillId="4" borderId="13" xfId="1" applyFont="1" applyFill="1" applyBorder="1" applyAlignment="1">
      <alignment horizontal="left"/>
    </xf>
    <xf numFmtId="43" fontId="2" fillId="0" borderId="4" xfId="1" applyFont="1" applyBorder="1" applyAlignment="1">
      <alignment horizontal="right"/>
    </xf>
    <xf numFmtId="43" fontId="0" fillId="2" borderId="2" xfId="1" applyFont="1" applyFill="1" applyBorder="1" applyAlignment="1">
      <alignment horizontal="left"/>
    </xf>
    <xf numFmtId="43" fontId="0" fillId="2" borderId="3" xfId="1" applyFont="1" applyFill="1" applyBorder="1" applyAlignment="1">
      <alignment horizontal="left"/>
    </xf>
    <xf numFmtId="43" fontId="0" fillId="2" borderId="4" xfId="1" applyFont="1" applyFill="1" applyBorder="1" applyAlignment="1">
      <alignment horizontal="left"/>
    </xf>
    <xf numFmtId="43" fontId="5" fillId="4" borderId="1" xfId="1" applyFont="1" applyFill="1" applyBorder="1" applyAlignment="1">
      <alignment horizontal="center" vertical="center" wrapText="1"/>
    </xf>
    <xf numFmtId="43" fontId="2" fillId="4" borderId="11" xfId="1" applyFont="1" applyFill="1" applyBorder="1" applyAlignment="1">
      <alignment horizontal="left"/>
    </xf>
    <xf numFmtId="43" fontId="2" fillId="4" borderId="0" xfId="1" applyFont="1" applyFill="1" applyBorder="1" applyAlignment="1">
      <alignment horizontal="left"/>
    </xf>
    <xf numFmtId="43" fontId="2" fillId="4" borderId="6" xfId="1" applyFont="1" applyFill="1" applyBorder="1" applyAlignment="1">
      <alignment horizontal="left"/>
    </xf>
    <xf numFmtId="43" fontId="2" fillId="2" borderId="1" xfId="1" applyFont="1" applyFill="1" applyBorder="1" applyAlignment="1">
      <alignment horizontal="center"/>
    </xf>
    <xf numFmtId="43" fontId="2" fillId="0" borderId="1" xfId="1" applyFont="1" applyBorder="1" applyAlignment="1">
      <alignment horizontal="right"/>
    </xf>
    <xf numFmtId="43" fontId="2" fillId="0" borderId="0" xfId="1" applyFont="1" applyAlignment="1">
      <alignment horizontal="center"/>
    </xf>
    <xf numFmtId="43" fontId="2" fillId="4" borderId="1" xfId="1" applyFont="1" applyFill="1" applyBorder="1" applyAlignment="1">
      <alignment horizontal="center" wrapText="1"/>
    </xf>
    <xf numFmtId="43" fontId="2" fillId="4" borderId="1" xfId="1" applyFont="1" applyFill="1" applyBorder="1" applyAlignment="1">
      <alignment horizontal="center"/>
    </xf>
    <xf numFmtId="43" fontId="0" fillId="0" borderId="1" xfId="1" applyFont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0" fillId="6" borderId="14" xfId="0" applyFill="1" applyBorder="1"/>
  </cellXfs>
  <cellStyles count="5">
    <cellStyle name="Moeda 2" xfId="3" xr:uid="{8AAE205E-1CCF-4294-898A-DFB6F47E1073}"/>
    <cellStyle name="Normal" xfId="0" builtinId="0"/>
    <cellStyle name="Normal 2" xfId="4" xr:uid="{0331BAF4-18F5-4D6F-A8D2-42A38DD2C1A5}"/>
    <cellStyle name="Porcentagem" xfId="2" builtinId="5"/>
    <cellStyle name="Vírgula" xfId="1" builtinId="3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240366</xdr:colOff>
      <xdr:row>79</xdr:row>
      <xdr:rowOff>174251</xdr:rowOff>
    </xdr:from>
    <xdr:to>
      <xdr:col>5</xdr:col>
      <xdr:colOff>21451</xdr:colOff>
      <xdr:row>93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E5A3281-52C4-4566-A0F3-37448A7CE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4691" y="9210675"/>
          <a:ext cx="6343810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240366</xdr:colOff>
      <xdr:row>78</xdr:row>
      <xdr:rowOff>174251</xdr:rowOff>
    </xdr:from>
    <xdr:to>
      <xdr:col>5</xdr:col>
      <xdr:colOff>21451</xdr:colOff>
      <xdr:row>92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83180C1-21F8-469D-B147-C43992576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4691" y="9001125"/>
          <a:ext cx="6343810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BB148-D373-48E2-95C1-4971063F48A7}">
  <sheetPr>
    <pageSetUpPr fitToPage="1"/>
  </sheetPr>
  <dimension ref="B3:L33"/>
  <sheetViews>
    <sheetView zoomScale="70" zoomScaleNormal="70" workbookViewId="0">
      <selection activeCell="E18" sqref="E18"/>
    </sheetView>
  </sheetViews>
  <sheetFormatPr defaultRowHeight="15" x14ac:dyDescent="0.25"/>
  <cols>
    <col min="3" max="3" width="15.85546875" style="3" bestFit="1" customWidth="1"/>
    <col min="4" max="4" width="15.85546875" style="12" customWidth="1"/>
    <col min="5" max="5" width="98.42578125" style="53" customWidth="1"/>
    <col min="6" max="6" width="9.5703125" style="3" customWidth="1"/>
    <col min="7" max="7" width="16.42578125" style="3" bestFit="1" customWidth="1"/>
    <col min="8" max="8" width="14.42578125" style="3" customWidth="1"/>
    <col min="9" max="9" width="25.85546875" style="3" bestFit="1" customWidth="1"/>
    <col min="10" max="10" width="24" style="3" bestFit="1" customWidth="1"/>
    <col min="11" max="11" width="16" customWidth="1"/>
    <col min="12" max="12" width="14.42578125" bestFit="1" customWidth="1"/>
  </cols>
  <sheetData>
    <row r="3" spans="2:12" ht="30" x14ac:dyDescent="0.25">
      <c r="B3" s="91" t="s">
        <v>110</v>
      </c>
      <c r="C3" s="91"/>
      <c r="D3" s="91"/>
      <c r="E3" s="91"/>
      <c r="F3" s="91"/>
      <c r="G3" s="91"/>
      <c r="H3" s="91"/>
      <c r="I3" s="32" t="s">
        <v>256</v>
      </c>
      <c r="J3" s="63" t="s">
        <v>111</v>
      </c>
    </row>
    <row r="4" spans="2:12" x14ac:dyDescent="0.25">
      <c r="B4" s="91"/>
      <c r="C4" s="91"/>
      <c r="D4" s="91"/>
      <c r="E4" s="91"/>
      <c r="F4" s="91"/>
      <c r="G4" s="91"/>
      <c r="H4" s="91"/>
      <c r="I4" s="32" t="s">
        <v>109</v>
      </c>
      <c r="J4" s="36">
        <v>45748</v>
      </c>
    </row>
    <row r="5" spans="2:12" ht="36" customHeight="1" x14ac:dyDescent="0.25">
      <c r="B5" s="92" t="s">
        <v>201</v>
      </c>
      <c r="C5" s="92"/>
      <c r="D5" s="92"/>
      <c r="E5" s="92"/>
      <c r="F5" s="92"/>
      <c r="G5" s="92"/>
      <c r="H5" s="92"/>
      <c r="I5" s="82" t="s">
        <v>105</v>
      </c>
      <c r="J5" s="35">
        <v>0.20349999999999999</v>
      </c>
    </row>
    <row r="6" spans="2:12" ht="30" x14ac:dyDescent="0.25">
      <c r="B6" s="62" t="s">
        <v>102</v>
      </c>
      <c r="C6" s="62" t="s">
        <v>90</v>
      </c>
      <c r="D6" s="33" t="s">
        <v>103</v>
      </c>
      <c r="E6" s="34" t="s">
        <v>62</v>
      </c>
      <c r="F6" s="62" t="s">
        <v>5</v>
      </c>
      <c r="G6" s="62" t="s">
        <v>6</v>
      </c>
      <c r="H6" s="34" t="s">
        <v>89</v>
      </c>
      <c r="I6" s="34" t="s">
        <v>104</v>
      </c>
      <c r="J6" s="34" t="s">
        <v>108</v>
      </c>
    </row>
    <row r="7" spans="2:12" x14ac:dyDescent="0.25">
      <c r="B7" s="93" t="s">
        <v>199</v>
      </c>
      <c r="C7" s="94"/>
      <c r="D7" s="94"/>
      <c r="E7" s="94"/>
      <c r="F7" s="26"/>
      <c r="G7" s="26"/>
      <c r="H7" s="26"/>
      <c r="I7" s="26"/>
      <c r="J7" s="27">
        <f>SUM(J8:J12)</f>
        <v>1037751.4406150002</v>
      </c>
    </row>
    <row r="8" spans="2:12" ht="30" x14ac:dyDescent="0.25">
      <c r="B8" s="24" t="s">
        <v>180</v>
      </c>
      <c r="C8" s="17" t="s">
        <v>15</v>
      </c>
      <c r="D8" s="18" t="s">
        <v>43</v>
      </c>
      <c r="E8" s="50" t="s">
        <v>68</v>
      </c>
      <c r="F8" s="19" t="s">
        <v>9</v>
      </c>
      <c r="G8" s="19">
        <v>4</v>
      </c>
      <c r="H8" s="19">
        <v>470.89</v>
      </c>
      <c r="I8" s="19">
        <f>H8*(1+$J$5)</f>
        <v>566.71611499999995</v>
      </c>
      <c r="J8" s="17">
        <f>G8*I8</f>
        <v>2266.8644599999998</v>
      </c>
    </row>
    <row r="9" spans="2:12" ht="45" x14ac:dyDescent="0.25">
      <c r="B9" s="24" t="s">
        <v>181</v>
      </c>
      <c r="C9" s="17" t="s">
        <v>15</v>
      </c>
      <c r="D9" s="18" t="s">
        <v>115</v>
      </c>
      <c r="E9" s="50" t="s">
        <v>116</v>
      </c>
      <c r="F9" s="17" t="s">
        <v>10</v>
      </c>
      <c r="G9" s="17">
        <f>((32*2.4*2.2)*1.3)*(2000/(32))</f>
        <v>13728.000000000002</v>
      </c>
      <c r="H9" s="19">
        <v>10.17</v>
      </c>
      <c r="I9" s="19">
        <f>H9*(1+$J$5)</f>
        <v>12.239595</v>
      </c>
      <c r="J9" s="17">
        <f>G9*I9</f>
        <v>168025.16016000003</v>
      </c>
    </row>
    <row r="10" spans="2:12" ht="45" x14ac:dyDescent="0.25">
      <c r="B10" s="24" t="s">
        <v>182</v>
      </c>
      <c r="C10" s="17" t="s">
        <v>15</v>
      </c>
      <c r="D10" s="18" t="s">
        <v>117</v>
      </c>
      <c r="E10" s="50" t="s">
        <v>118</v>
      </c>
      <c r="F10" s="17" t="s">
        <v>10</v>
      </c>
      <c r="G10" s="17">
        <f>G9-2745</f>
        <v>10983.000000000002</v>
      </c>
      <c r="H10" s="19">
        <v>8.7899999999999991</v>
      </c>
      <c r="I10" s="19">
        <f>H10*(1+$J$5)</f>
        <v>10.578764999999999</v>
      </c>
      <c r="J10" s="17">
        <f>G10*I10</f>
        <v>116186.57599500001</v>
      </c>
    </row>
    <row r="11" spans="2:12" ht="45" x14ac:dyDescent="0.25">
      <c r="B11" s="24" t="s">
        <v>183</v>
      </c>
      <c r="C11" s="17" t="s">
        <v>15</v>
      </c>
      <c r="D11" s="18" t="s">
        <v>119</v>
      </c>
      <c r="E11" s="20" t="s">
        <v>88</v>
      </c>
      <c r="F11" s="17" t="s">
        <v>26</v>
      </c>
      <c r="G11" s="17">
        <v>1800</v>
      </c>
      <c r="H11" s="19">
        <v>346.8</v>
      </c>
      <c r="I11" s="19">
        <f>H11*(1+$J$5)</f>
        <v>417.37380000000002</v>
      </c>
      <c r="J11" s="17">
        <f>G11*I11</f>
        <v>751272.84000000008</v>
      </c>
      <c r="K11" s="16"/>
      <c r="L11" s="16"/>
    </row>
    <row r="12" spans="2:12" x14ac:dyDescent="0.25">
      <c r="B12" s="24"/>
      <c r="C12" s="17"/>
      <c r="D12" s="18"/>
      <c r="E12" s="20"/>
      <c r="F12" s="17"/>
      <c r="G12" s="17"/>
      <c r="H12" s="19"/>
      <c r="I12" s="19"/>
      <c r="J12" s="17"/>
    </row>
    <row r="13" spans="2:12" x14ac:dyDescent="0.25">
      <c r="B13" s="93" t="s">
        <v>186</v>
      </c>
      <c r="C13" s="94"/>
      <c r="D13" s="94"/>
      <c r="E13" s="94"/>
      <c r="F13" s="94"/>
      <c r="G13" s="94"/>
      <c r="H13" s="94"/>
      <c r="I13" s="94"/>
      <c r="J13" s="27">
        <f>SUM(J14:J19)</f>
        <v>3394983.9985933998</v>
      </c>
    </row>
    <row r="14" spans="2:12" ht="30" x14ac:dyDescent="0.25">
      <c r="B14" s="24" t="s">
        <v>91</v>
      </c>
      <c r="C14" s="17" t="s">
        <v>15</v>
      </c>
      <c r="D14" s="18" t="s">
        <v>162</v>
      </c>
      <c r="E14" s="20" t="s">
        <v>163</v>
      </c>
      <c r="F14" s="17" t="s">
        <v>9</v>
      </c>
      <c r="G14" s="17">
        <f>32*2.4*(2000/32)*1.1</f>
        <v>5280</v>
      </c>
      <c r="H14" s="19">
        <v>4.09</v>
      </c>
      <c r="I14" s="19">
        <f t="shared" ref="I14:I19" si="0">H14*(1+$J$5)</f>
        <v>4.9223150000000002</v>
      </c>
      <c r="J14" s="17">
        <f t="shared" ref="J14:J19" si="1">G14*I14</f>
        <v>25989.823200000003</v>
      </c>
      <c r="K14" s="16"/>
      <c r="L14" s="16"/>
    </row>
    <row r="15" spans="2:12" ht="30" x14ac:dyDescent="0.25">
      <c r="B15" s="24" t="s">
        <v>187</v>
      </c>
      <c r="C15" s="17" t="s">
        <v>15</v>
      </c>
      <c r="D15" s="18" t="s">
        <v>164</v>
      </c>
      <c r="E15" s="20" t="s">
        <v>165</v>
      </c>
      <c r="F15" s="17" t="s">
        <v>9</v>
      </c>
      <c r="G15" s="17">
        <f>32*2.4*(2000/32)*1.1</f>
        <v>5280</v>
      </c>
      <c r="H15" s="19">
        <v>4.3600000000000003</v>
      </c>
      <c r="I15" s="19">
        <f t="shared" si="0"/>
        <v>5.2472600000000007</v>
      </c>
      <c r="J15" s="17">
        <f t="shared" si="1"/>
        <v>27705.532800000004</v>
      </c>
      <c r="K15" s="16"/>
    </row>
    <row r="16" spans="2:12" ht="45" x14ac:dyDescent="0.25">
      <c r="B16" s="24" t="s">
        <v>92</v>
      </c>
      <c r="C16" s="17" t="s">
        <v>15</v>
      </c>
      <c r="D16" s="18" t="s">
        <v>121</v>
      </c>
      <c r="E16" s="20" t="s">
        <v>122</v>
      </c>
      <c r="F16" s="17" t="s">
        <v>9</v>
      </c>
      <c r="G16" s="17">
        <f>32*2.4*(2000/32)*1.1</f>
        <v>5280</v>
      </c>
      <c r="H16" s="19">
        <v>83.51</v>
      </c>
      <c r="I16" s="19">
        <f t="shared" si="0"/>
        <v>100.50428500000001</v>
      </c>
      <c r="J16" s="17">
        <f t="shared" si="1"/>
        <v>530662.62480000011</v>
      </c>
      <c r="K16" s="16"/>
    </row>
    <row r="17" spans="2:11" x14ac:dyDescent="0.25">
      <c r="B17" s="24" t="s">
        <v>93</v>
      </c>
      <c r="C17" s="17" t="s">
        <v>135</v>
      </c>
      <c r="D17" s="18" t="s">
        <v>136</v>
      </c>
      <c r="E17" s="65" t="s">
        <v>147</v>
      </c>
      <c r="F17" s="17" t="s">
        <v>127</v>
      </c>
      <c r="G17" s="17">
        <v>2100</v>
      </c>
      <c r="H17" s="19">
        <f>936*1.15</f>
        <v>1076.3999999999999</v>
      </c>
      <c r="I17" s="19">
        <f t="shared" si="0"/>
        <v>1295.4473999999998</v>
      </c>
      <c r="J17" s="17">
        <f t="shared" si="1"/>
        <v>2720439.5399999996</v>
      </c>
    </row>
    <row r="18" spans="2:11" x14ac:dyDescent="0.25">
      <c r="B18" s="24" t="s">
        <v>94</v>
      </c>
      <c r="C18" s="17" t="s">
        <v>15</v>
      </c>
      <c r="D18" s="18" t="s">
        <v>123</v>
      </c>
      <c r="E18" s="20" t="s">
        <v>124</v>
      </c>
      <c r="F18" s="17" t="s">
        <v>20</v>
      </c>
      <c r="G18" s="17">
        <f>(0.92*3)+(2.2*4)+(0.65*6)*2000*3*1.2</f>
        <v>28091.560000000005</v>
      </c>
      <c r="H18" s="19">
        <v>0.49</v>
      </c>
      <c r="I18" s="19">
        <f t="shared" si="0"/>
        <v>0.58971499999999999</v>
      </c>
      <c r="J18" s="17">
        <f t="shared" si="1"/>
        <v>16566.014305400004</v>
      </c>
    </row>
    <row r="19" spans="2:11" ht="45" x14ac:dyDescent="0.25">
      <c r="B19" s="24" t="s">
        <v>95</v>
      </c>
      <c r="C19" s="17" t="s">
        <v>15</v>
      </c>
      <c r="D19" s="18" t="s">
        <v>125</v>
      </c>
      <c r="E19" s="20" t="s">
        <v>126</v>
      </c>
      <c r="F19" s="17" t="s">
        <v>10</v>
      </c>
      <c r="G19" s="17">
        <f>0.2*G9</f>
        <v>2745.6000000000004</v>
      </c>
      <c r="H19" s="19">
        <v>22.28</v>
      </c>
      <c r="I19" s="19">
        <f t="shared" si="0"/>
        <v>26.813980000000001</v>
      </c>
      <c r="J19" s="17">
        <f t="shared" si="1"/>
        <v>73620.463488000009</v>
      </c>
    </row>
    <row r="20" spans="2:11" x14ac:dyDescent="0.25">
      <c r="B20" s="93" t="s">
        <v>188</v>
      </c>
      <c r="C20" s="94"/>
      <c r="D20" s="94"/>
      <c r="E20" s="94"/>
      <c r="F20" s="94"/>
      <c r="G20" s="94"/>
      <c r="H20" s="94"/>
      <c r="I20" s="95"/>
      <c r="J20" s="29">
        <f>SUM(J21:J21)</f>
        <v>176109.84952800005</v>
      </c>
    </row>
    <row r="21" spans="2:11" ht="16.5" customHeight="1" x14ac:dyDescent="0.25">
      <c r="B21" s="25" t="s">
        <v>96</v>
      </c>
      <c r="C21" s="17" t="s">
        <v>15</v>
      </c>
      <c r="D21" s="18">
        <v>103946</v>
      </c>
      <c r="E21" s="20" t="s">
        <v>145</v>
      </c>
      <c r="F21" s="17" t="s">
        <v>9</v>
      </c>
      <c r="G21" s="17">
        <f>((32+32+2.4+2.4)*1.5)*62</f>
        <v>6398.4000000000015</v>
      </c>
      <c r="H21" s="19">
        <v>22.87</v>
      </c>
      <c r="I21" s="19">
        <f>H21*(1+$J$5)</f>
        <v>27.524045000000001</v>
      </c>
      <c r="J21" s="17">
        <f>G21*I21</f>
        <v>176109.84952800005</v>
      </c>
    </row>
    <row r="22" spans="2:11" x14ac:dyDescent="0.25">
      <c r="B22" s="93" t="s">
        <v>189</v>
      </c>
      <c r="C22" s="94"/>
      <c r="D22" s="94"/>
      <c r="E22" s="94"/>
      <c r="F22" s="94"/>
      <c r="G22" s="94"/>
      <c r="H22" s="94"/>
      <c r="I22" s="95"/>
      <c r="J22" s="29">
        <f>SUM(J23:J23)</f>
        <v>91885.780800000008</v>
      </c>
    </row>
    <row r="23" spans="2:11" ht="16.5" customHeight="1" x14ac:dyDescent="0.25">
      <c r="B23" s="25" t="s">
        <v>98</v>
      </c>
      <c r="C23" s="17" t="s">
        <v>17</v>
      </c>
      <c r="D23" s="18" t="s">
        <v>66</v>
      </c>
      <c r="E23" s="20" t="s">
        <v>67</v>
      </c>
      <c r="F23" s="17" t="s">
        <v>9</v>
      </c>
      <c r="G23" s="17">
        <f>G16</f>
        <v>5280</v>
      </c>
      <c r="H23" s="19">
        <v>14.46</v>
      </c>
      <c r="I23" s="19">
        <f>H23*(1+$J$5)</f>
        <v>17.402610000000003</v>
      </c>
      <c r="J23" s="17">
        <f>G23*I23</f>
        <v>91885.780800000008</v>
      </c>
    </row>
    <row r="24" spans="2:11" x14ac:dyDescent="0.25">
      <c r="B24" s="93" t="s">
        <v>190</v>
      </c>
      <c r="C24" s="94"/>
      <c r="D24" s="26"/>
      <c r="E24" s="51"/>
      <c r="F24" s="26"/>
      <c r="G24" s="26"/>
      <c r="H24" s="26"/>
      <c r="I24" s="26"/>
      <c r="J24" s="27">
        <f>SUM(J25:J27)</f>
        <v>879194.05850000004</v>
      </c>
    </row>
    <row r="25" spans="2:11" x14ac:dyDescent="0.25">
      <c r="B25" s="25" t="s">
        <v>99</v>
      </c>
      <c r="C25" s="1" t="s">
        <v>17</v>
      </c>
      <c r="D25" s="10" t="s">
        <v>159</v>
      </c>
      <c r="E25" s="14" t="s">
        <v>63</v>
      </c>
      <c r="F25" s="1" t="s">
        <v>26</v>
      </c>
      <c r="G25" s="1">
        <v>1900</v>
      </c>
      <c r="H25" s="19">
        <v>179.29</v>
      </c>
      <c r="I25" s="19">
        <f>H25*(1+$J$5)</f>
        <v>215.77551499999998</v>
      </c>
      <c r="J25" s="17">
        <f>G25*I25</f>
        <v>409973.47849999997</v>
      </c>
    </row>
    <row r="26" spans="2:11" x14ac:dyDescent="0.25">
      <c r="B26" s="25" t="s">
        <v>191</v>
      </c>
      <c r="C26" s="1" t="s">
        <v>17</v>
      </c>
      <c r="D26" s="10" t="s">
        <v>160</v>
      </c>
      <c r="E26" s="14" t="s">
        <v>64</v>
      </c>
      <c r="F26" s="1" t="s">
        <v>26</v>
      </c>
      <c r="G26" s="1">
        <v>3000</v>
      </c>
      <c r="H26" s="19">
        <v>70.5</v>
      </c>
      <c r="I26" s="19">
        <f>H26*(1+$J$5)</f>
        <v>84.84675</v>
      </c>
      <c r="J26" s="17">
        <f>G26*I26</f>
        <v>254540.25</v>
      </c>
      <c r="K26" s="16"/>
    </row>
    <row r="27" spans="2:11" x14ac:dyDescent="0.25">
      <c r="B27" s="25" t="s">
        <v>192</v>
      </c>
      <c r="C27" s="1" t="s">
        <v>17</v>
      </c>
      <c r="D27" s="10" t="s">
        <v>161</v>
      </c>
      <c r="E27" s="14" t="s">
        <v>65</v>
      </c>
      <c r="F27" s="1" t="s">
        <v>26</v>
      </c>
      <c r="G27" s="1">
        <v>3000</v>
      </c>
      <c r="H27" s="19">
        <v>59.46</v>
      </c>
      <c r="I27" s="19">
        <f>H27*(1+$J$5)</f>
        <v>71.560110000000009</v>
      </c>
      <c r="J27" s="17">
        <f>G27*I27</f>
        <v>214680.33000000002</v>
      </c>
      <c r="K27" s="16"/>
    </row>
    <row r="28" spans="2:11" ht="9" customHeight="1" x14ac:dyDescent="0.25">
      <c r="B28" s="25"/>
      <c r="C28" s="96"/>
      <c r="D28" s="97"/>
      <c r="E28" s="97"/>
      <c r="F28" s="97"/>
      <c r="G28" s="97"/>
      <c r="H28" s="97"/>
      <c r="I28" s="97"/>
      <c r="J28" s="98"/>
    </row>
    <row r="29" spans="2:11" x14ac:dyDescent="0.25">
      <c r="B29" s="25"/>
      <c r="C29" s="99" t="s">
        <v>112</v>
      </c>
      <c r="D29" s="100"/>
      <c r="E29" s="100"/>
      <c r="F29" s="100"/>
      <c r="G29" s="100"/>
      <c r="H29" s="100"/>
      <c r="I29" s="100"/>
      <c r="J29" s="61">
        <f>SUM(J24,J13,J7,J22,J20)</f>
        <v>5579925.1280363994</v>
      </c>
      <c r="K29" s="3"/>
    </row>
    <row r="30" spans="2:11" ht="17.25" customHeight="1" x14ac:dyDescent="0.25">
      <c r="C30" s="101"/>
      <c r="D30" s="101"/>
      <c r="E30" s="101"/>
      <c r="F30" s="101"/>
      <c r="G30" s="101"/>
      <c r="H30" s="101"/>
      <c r="I30" s="101"/>
      <c r="J30" s="101"/>
    </row>
    <row r="31" spans="2:11" x14ac:dyDescent="0.25">
      <c r="I31" s="90" t="s">
        <v>146</v>
      </c>
      <c r="J31" s="66">
        <f>J29/2000</f>
        <v>2789.9625640181998</v>
      </c>
    </row>
    <row r="33" spans="9:9" x14ac:dyDescent="0.25">
      <c r="I33" s="68"/>
    </row>
  </sheetData>
  <mergeCells count="10">
    <mergeCell ref="B24:C24"/>
    <mergeCell ref="C28:J28"/>
    <mergeCell ref="C29:I29"/>
    <mergeCell ref="C30:J30"/>
    <mergeCell ref="B22:I22"/>
    <mergeCell ref="B3:H4"/>
    <mergeCell ref="B5:H5"/>
    <mergeCell ref="B7:E7"/>
    <mergeCell ref="B13:I13"/>
    <mergeCell ref="B20:I20"/>
  </mergeCells>
  <phoneticPr fontId="3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05FFD-FED3-481F-B1C2-C6896C1BAE76}">
  <sheetPr>
    <pageSetUpPr fitToPage="1"/>
  </sheetPr>
  <dimension ref="B3:CH39"/>
  <sheetViews>
    <sheetView zoomScale="80" zoomScaleNormal="80" workbookViewId="0">
      <selection activeCell="E16" sqref="E16"/>
    </sheetView>
  </sheetViews>
  <sheetFormatPr defaultColWidth="38.42578125" defaultRowHeight="15" x14ac:dyDescent="0.25"/>
  <cols>
    <col min="1" max="1" width="4.42578125" customWidth="1"/>
    <col min="2" max="2" width="7.7109375" bestFit="1" customWidth="1"/>
    <col min="3" max="3" width="13.42578125" style="3" bestFit="1" customWidth="1"/>
    <col min="4" max="4" width="16.42578125" style="12" bestFit="1" customWidth="1"/>
    <col min="5" max="5" width="117.85546875" style="53" bestFit="1" customWidth="1"/>
    <col min="6" max="6" width="10.140625" style="3" hidden="1" customWidth="1"/>
    <col min="7" max="7" width="11.28515625" style="3" hidden="1" customWidth="1"/>
    <col min="8" max="8" width="15.5703125" style="3" hidden="1" customWidth="1"/>
    <col min="9" max="9" width="14.28515625" style="3" hidden="1" customWidth="1"/>
    <col min="10" max="10" width="8.5703125" style="3" hidden="1" customWidth="1"/>
    <col min="11" max="11" width="10.140625" style="3" hidden="1" customWidth="1"/>
    <col min="12" max="12" width="16.7109375" style="3" bestFit="1" customWidth="1"/>
    <col min="13" max="13" width="2.28515625" bestFit="1" customWidth="1"/>
    <col min="14" max="14" width="10.85546875" bestFit="1" customWidth="1"/>
    <col min="15" max="15" width="14.85546875" bestFit="1" customWidth="1"/>
    <col min="16" max="16" width="5" bestFit="1" customWidth="1"/>
    <col min="17" max="17" width="14.85546875" bestFit="1" customWidth="1"/>
    <col min="18" max="18" width="5" bestFit="1" customWidth="1"/>
    <col min="19" max="19" width="14.85546875" bestFit="1" customWidth="1"/>
    <col min="20" max="20" width="5" bestFit="1" customWidth="1"/>
    <col min="21" max="21" width="14.85546875" bestFit="1" customWidth="1"/>
    <col min="22" max="22" width="5" bestFit="1" customWidth="1"/>
    <col min="23" max="23" width="14.85546875" bestFit="1" customWidth="1"/>
    <col min="24" max="24" width="5" bestFit="1" customWidth="1"/>
    <col min="25" max="25" width="14.85546875" bestFit="1" customWidth="1"/>
    <col min="26" max="26" width="6" bestFit="1" customWidth="1"/>
    <col min="27" max="27" width="14.85546875" bestFit="1" customWidth="1"/>
    <col min="28" max="28" width="5" bestFit="1" customWidth="1"/>
    <col min="29" max="29" width="14.85546875" bestFit="1" customWidth="1"/>
    <col min="30" max="30" width="5" bestFit="1" customWidth="1"/>
    <col min="31" max="31" width="14.85546875" bestFit="1" customWidth="1"/>
    <col min="32" max="32" width="5" bestFit="1" customWidth="1"/>
    <col min="33" max="33" width="14.85546875" bestFit="1" customWidth="1"/>
    <col min="34" max="34" width="5" bestFit="1" customWidth="1"/>
    <col min="35" max="35" width="14.85546875" bestFit="1" customWidth="1"/>
    <col min="36" max="36" width="5" bestFit="1" customWidth="1"/>
    <col min="37" max="37" width="14.85546875" bestFit="1" customWidth="1"/>
    <col min="38" max="38" width="10.85546875" bestFit="1" customWidth="1"/>
    <col min="39" max="39" width="14.85546875" bestFit="1" customWidth="1"/>
    <col min="40" max="40" width="5" bestFit="1" customWidth="1"/>
    <col min="41" max="41" width="14.85546875" bestFit="1" customWidth="1"/>
    <col min="42" max="42" width="5" bestFit="1" customWidth="1"/>
    <col min="43" max="43" width="14.85546875" bestFit="1" customWidth="1"/>
    <col min="44" max="44" width="5" bestFit="1" customWidth="1"/>
    <col min="45" max="45" width="14.85546875" bestFit="1" customWidth="1"/>
    <col min="46" max="46" width="5" bestFit="1" customWidth="1"/>
    <col min="47" max="47" width="14.85546875" bestFit="1" customWidth="1"/>
    <col min="48" max="48" width="5" bestFit="1" customWidth="1"/>
    <col min="49" max="49" width="14.85546875" bestFit="1" customWidth="1"/>
    <col min="50" max="50" width="5" bestFit="1" customWidth="1"/>
    <col min="51" max="51" width="14.85546875" bestFit="1" customWidth="1"/>
    <col min="52" max="52" width="5" bestFit="1" customWidth="1"/>
    <col min="53" max="53" width="14.85546875" bestFit="1" customWidth="1"/>
    <col min="54" max="54" width="5" bestFit="1" customWidth="1"/>
    <col min="55" max="55" width="14.85546875" bestFit="1" customWidth="1"/>
    <col min="56" max="56" width="5" bestFit="1" customWidth="1"/>
    <col min="57" max="57" width="14.85546875" bestFit="1" customWidth="1"/>
    <col min="58" max="58" width="5" bestFit="1" customWidth="1"/>
    <col min="59" max="59" width="14.85546875" bestFit="1" customWidth="1"/>
    <col min="60" max="60" width="5" bestFit="1" customWidth="1"/>
    <col min="61" max="61" width="14.85546875" bestFit="1" customWidth="1"/>
    <col min="62" max="62" width="5" bestFit="1" customWidth="1"/>
    <col min="63" max="63" width="14.85546875" bestFit="1" customWidth="1"/>
    <col min="64" max="64" width="5" bestFit="1" customWidth="1"/>
    <col min="65" max="65" width="14.85546875" bestFit="1" customWidth="1"/>
    <col min="66" max="66" width="5" bestFit="1" customWidth="1"/>
    <col min="67" max="67" width="14.85546875" bestFit="1" customWidth="1"/>
    <col min="68" max="68" width="5" bestFit="1" customWidth="1"/>
    <col min="69" max="69" width="14.85546875" bestFit="1" customWidth="1"/>
    <col min="70" max="70" width="5" bestFit="1" customWidth="1"/>
    <col min="71" max="71" width="14.85546875" bestFit="1" customWidth="1"/>
    <col min="72" max="72" width="5" bestFit="1" customWidth="1"/>
    <col min="73" max="73" width="14.85546875" bestFit="1" customWidth="1"/>
    <col min="74" max="74" width="5" bestFit="1" customWidth="1"/>
    <col min="75" max="75" width="14.85546875" bestFit="1" customWidth="1"/>
    <col min="76" max="76" width="5" bestFit="1" customWidth="1"/>
    <col min="77" max="77" width="14.85546875" bestFit="1" customWidth="1"/>
    <col min="78" max="78" width="5" bestFit="1" customWidth="1"/>
    <col min="79" max="79" width="14.85546875" bestFit="1" customWidth="1"/>
    <col min="80" max="80" width="5" bestFit="1" customWidth="1"/>
    <col min="81" max="81" width="14.85546875" bestFit="1" customWidth="1"/>
    <col min="82" max="82" width="5" bestFit="1" customWidth="1"/>
    <col min="83" max="83" width="14.85546875" bestFit="1" customWidth="1"/>
    <col min="84" max="84" width="5" bestFit="1" customWidth="1"/>
    <col min="85" max="85" width="14.85546875" bestFit="1" customWidth="1"/>
  </cols>
  <sheetData>
    <row r="3" spans="2:86" ht="19.5" x14ac:dyDescent="0.25">
      <c r="B3" s="102" t="s">
        <v>200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4"/>
    </row>
    <row r="4" spans="2:86" x14ac:dyDescent="0.25">
      <c r="B4" s="109"/>
      <c r="C4" s="110"/>
      <c r="D4" s="110"/>
      <c r="E4" s="110"/>
      <c r="F4" s="110"/>
      <c r="G4" s="110"/>
      <c r="H4" s="110"/>
      <c r="I4" s="110"/>
      <c r="J4" s="110"/>
      <c r="K4" s="110"/>
      <c r="L4" s="111"/>
      <c r="N4" s="105" t="s">
        <v>166</v>
      </c>
      <c r="O4" s="106"/>
      <c r="P4" s="105" t="s">
        <v>167</v>
      </c>
      <c r="Q4" s="106"/>
      <c r="R4" s="105" t="s">
        <v>168</v>
      </c>
      <c r="S4" s="106"/>
      <c r="T4" s="105" t="s">
        <v>169</v>
      </c>
      <c r="U4" s="106"/>
      <c r="V4" s="105" t="s">
        <v>170</v>
      </c>
      <c r="W4" s="106"/>
      <c r="X4" s="105" t="s">
        <v>171</v>
      </c>
      <c r="Y4" s="106"/>
      <c r="Z4" s="105" t="s">
        <v>172</v>
      </c>
      <c r="AA4" s="106"/>
      <c r="AB4" s="105" t="s">
        <v>173</v>
      </c>
      <c r="AC4" s="106"/>
      <c r="AD4" s="105" t="s">
        <v>174</v>
      </c>
      <c r="AE4" s="106"/>
      <c r="AF4" s="105" t="s">
        <v>175</v>
      </c>
      <c r="AG4" s="106"/>
      <c r="AH4" s="105" t="s">
        <v>176</v>
      </c>
      <c r="AI4" s="106"/>
      <c r="AJ4" s="105" t="s">
        <v>177</v>
      </c>
      <c r="AK4" s="106"/>
      <c r="AL4" s="105" t="s">
        <v>193</v>
      </c>
      <c r="AM4" s="106"/>
      <c r="AN4" s="105" t="s">
        <v>194</v>
      </c>
      <c r="AO4" s="106"/>
      <c r="AP4" s="105" t="s">
        <v>195</v>
      </c>
      <c r="AQ4" s="106"/>
      <c r="AR4" s="105" t="s">
        <v>196</v>
      </c>
      <c r="AS4" s="106"/>
      <c r="AT4" s="105" t="s">
        <v>197</v>
      </c>
      <c r="AU4" s="106"/>
      <c r="AV4" s="105" t="s">
        <v>198</v>
      </c>
      <c r="AW4" s="106"/>
      <c r="AX4" s="105" t="s">
        <v>257</v>
      </c>
      <c r="AY4" s="106"/>
      <c r="AZ4" s="105" t="s">
        <v>258</v>
      </c>
      <c r="BA4" s="106"/>
      <c r="BB4" s="105" t="s">
        <v>259</v>
      </c>
      <c r="BC4" s="106"/>
      <c r="BD4" s="105" t="s">
        <v>260</v>
      </c>
      <c r="BE4" s="106"/>
      <c r="BF4" s="105" t="s">
        <v>261</v>
      </c>
      <c r="BG4" s="106"/>
      <c r="BH4" s="105" t="s">
        <v>262</v>
      </c>
      <c r="BI4" s="106"/>
      <c r="BJ4" s="105" t="s">
        <v>263</v>
      </c>
      <c r="BK4" s="106"/>
      <c r="BL4" s="105" t="s">
        <v>264</v>
      </c>
      <c r="BM4" s="106"/>
      <c r="BN4" s="105" t="s">
        <v>265</v>
      </c>
      <c r="BO4" s="106"/>
      <c r="BP4" s="105" t="s">
        <v>266</v>
      </c>
      <c r="BQ4" s="106"/>
      <c r="BR4" s="105" t="s">
        <v>267</v>
      </c>
      <c r="BS4" s="106"/>
      <c r="BT4" s="105" t="s">
        <v>268</v>
      </c>
      <c r="BU4" s="106"/>
      <c r="BV4" s="105" t="s">
        <v>269</v>
      </c>
      <c r="BW4" s="106"/>
      <c r="BX4" s="105" t="s">
        <v>270</v>
      </c>
      <c r="BY4" s="106"/>
      <c r="BZ4" s="105" t="s">
        <v>271</v>
      </c>
      <c r="CA4" s="106"/>
      <c r="CB4" s="105" t="s">
        <v>272</v>
      </c>
      <c r="CC4" s="106"/>
      <c r="CD4" s="105" t="s">
        <v>273</v>
      </c>
      <c r="CE4" s="106"/>
      <c r="CF4" s="105" t="s">
        <v>274</v>
      </c>
      <c r="CG4" s="106"/>
    </row>
    <row r="5" spans="2:86" ht="19.5" x14ac:dyDescent="0.25">
      <c r="B5" s="92"/>
      <c r="C5" s="92"/>
      <c r="D5" s="92"/>
      <c r="E5" s="92"/>
      <c r="F5" s="92"/>
      <c r="G5" s="92"/>
      <c r="H5" s="92"/>
      <c r="I5" s="27" t="s">
        <v>105</v>
      </c>
      <c r="J5" s="27"/>
      <c r="K5" s="27"/>
      <c r="L5" s="74">
        <v>0.20349999999999999</v>
      </c>
      <c r="N5" s="107">
        <f>SUM(O7:O28)</f>
        <v>157201.81622601111</v>
      </c>
      <c r="O5" s="108"/>
      <c r="P5" s="107">
        <f t="shared" ref="P5" si="0">SUM(Q7:Q28)</f>
        <v>154934.95176601113</v>
      </c>
      <c r="Q5" s="108"/>
      <c r="R5" s="107">
        <f t="shared" ref="R5" si="1">SUM(S7:S28)</f>
        <v>154934.95176601113</v>
      </c>
      <c r="S5" s="108"/>
      <c r="T5" s="107">
        <f t="shared" ref="T5" si="2">SUM(U7:U28)</f>
        <v>154934.95176601113</v>
      </c>
      <c r="U5" s="108"/>
      <c r="V5" s="107">
        <f t="shared" ref="V5" si="3">SUM(W7:W28)</f>
        <v>154934.95176601113</v>
      </c>
      <c r="W5" s="108"/>
      <c r="X5" s="107">
        <f t="shared" ref="X5" si="4">SUM(Y7:Y28)</f>
        <v>154934.95176601113</v>
      </c>
      <c r="Y5" s="108"/>
      <c r="Z5" s="107">
        <f t="shared" ref="Z5" si="5">SUM(AA7:AA28)</f>
        <v>154934.95176601113</v>
      </c>
      <c r="AA5" s="108"/>
      <c r="AB5" s="107">
        <f t="shared" ref="AB5" si="6">SUM(AC7:AC28)</f>
        <v>154934.95176601113</v>
      </c>
      <c r="AC5" s="108"/>
      <c r="AD5" s="107">
        <f t="shared" ref="AD5" si="7">SUM(AE7:AE28)</f>
        <v>154934.95176601113</v>
      </c>
      <c r="AE5" s="108"/>
      <c r="AF5" s="107">
        <f t="shared" ref="AF5" si="8">SUM(AG7:AG28)</f>
        <v>154934.95176601113</v>
      </c>
      <c r="AG5" s="108"/>
      <c r="AH5" s="107">
        <f t="shared" ref="AH5" si="9">SUM(AI7:AI28)</f>
        <v>154934.95176601113</v>
      </c>
      <c r="AI5" s="108"/>
      <c r="AJ5" s="107">
        <f t="shared" ref="AJ5" si="10">SUM(AK7:AK28)</f>
        <v>154934.95176601113</v>
      </c>
      <c r="AK5" s="108"/>
      <c r="AL5" s="107">
        <f t="shared" ref="AL5" si="11">SUM(AM7:AM28)</f>
        <v>154934.95176601113</v>
      </c>
      <c r="AM5" s="108"/>
      <c r="AN5" s="107">
        <f t="shared" ref="AN5" si="12">SUM(AO7:AO28)</f>
        <v>154934.95176601113</v>
      </c>
      <c r="AO5" s="108"/>
      <c r="AP5" s="107">
        <f t="shared" ref="AP5" si="13">SUM(AQ7:AQ28)</f>
        <v>154934.95176601113</v>
      </c>
      <c r="AQ5" s="108"/>
      <c r="AR5" s="107">
        <f t="shared" ref="AR5" si="14">SUM(AS7:AS28)</f>
        <v>154934.95176601113</v>
      </c>
      <c r="AS5" s="108"/>
      <c r="AT5" s="107">
        <f t="shared" ref="AT5" si="15">SUM(AU7:AU28)</f>
        <v>154934.95176601113</v>
      </c>
      <c r="AU5" s="108"/>
      <c r="AV5" s="107">
        <f t="shared" ref="AV5" si="16">SUM(AW7:AW28)</f>
        <v>154934.95176601113</v>
      </c>
      <c r="AW5" s="108"/>
      <c r="AX5" s="107">
        <f t="shared" ref="AX5" si="17">SUM(AY7:AY28)</f>
        <v>154934.95176601113</v>
      </c>
      <c r="AY5" s="108"/>
      <c r="AZ5" s="107">
        <f t="shared" ref="AZ5" si="18">SUM(BA7:BA28)</f>
        <v>154934.95176601113</v>
      </c>
      <c r="BA5" s="108"/>
      <c r="BB5" s="107">
        <f t="shared" ref="BB5" si="19">SUM(BC7:BC28)</f>
        <v>154934.95176601113</v>
      </c>
      <c r="BC5" s="108"/>
      <c r="BD5" s="107">
        <f t="shared" ref="BD5" si="20">SUM(BE7:BE28)</f>
        <v>154934.95176601113</v>
      </c>
      <c r="BE5" s="108"/>
      <c r="BF5" s="107">
        <f t="shared" ref="BF5" si="21">SUM(BG7:BG28)</f>
        <v>154934.95176601113</v>
      </c>
      <c r="BG5" s="108"/>
      <c r="BH5" s="107">
        <f t="shared" ref="BH5" si="22">SUM(BI7:BI28)</f>
        <v>154934.95176601113</v>
      </c>
      <c r="BI5" s="108"/>
      <c r="BJ5" s="107">
        <f t="shared" ref="BJ5" si="23">SUM(BK7:BK28)</f>
        <v>154934.95176601113</v>
      </c>
      <c r="BK5" s="108"/>
      <c r="BL5" s="107">
        <f t="shared" ref="BL5" si="24">SUM(BM7:BM28)</f>
        <v>154934.95176601113</v>
      </c>
      <c r="BM5" s="108"/>
      <c r="BN5" s="107">
        <f t="shared" ref="BN5" si="25">SUM(BO7:BO28)</f>
        <v>154934.95176601113</v>
      </c>
      <c r="BO5" s="108"/>
      <c r="BP5" s="107">
        <f t="shared" ref="BP5" si="26">SUM(BQ7:BQ28)</f>
        <v>154934.95176601113</v>
      </c>
      <c r="BQ5" s="108"/>
      <c r="BR5" s="107">
        <f t="shared" ref="BR5" si="27">SUM(BS7:BS28)</f>
        <v>154934.95176601113</v>
      </c>
      <c r="BS5" s="108"/>
      <c r="BT5" s="107">
        <f t="shared" ref="BT5" si="28">SUM(BU7:BU28)</f>
        <v>154934.95176601113</v>
      </c>
      <c r="BU5" s="108"/>
      <c r="BV5" s="107">
        <f t="shared" ref="BV5" si="29">SUM(BW7:BW28)</f>
        <v>154934.95176601113</v>
      </c>
      <c r="BW5" s="108"/>
      <c r="BX5" s="107">
        <f t="shared" ref="BX5" si="30">SUM(BY7:BY28)</f>
        <v>154934.95176601113</v>
      </c>
      <c r="BY5" s="108"/>
      <c r="BZ5" s="107">
        <f t="shared" ref="BZ5" si="31">SUM(CA7:CA28)</f>
        <v>154934.95176601113</v>
      </c>
      <c r="CA5" s="108"/>
      <c r="CB5" s="107">
        <f t="shared" ref="CB5" si="32">SUM(CC7:CC28)</f>
        <v>154934.95176601113</v>
      </c>
      <c r="CC5" s="108"/>
      <c r="CD5" s="107">
        <f t="shared" ref="CD5" si="33">SUM(CE7:CE28)</f>
        <v>154934.95176601113</v>
      </c>
      <c r="CE5" s="108"/>
      <c r="CF5" s="107">
        <f t="shared" ref="CF5" si="34">SUM(CG7:CG28)</f>
        <v>154934.95176601113</v>
      </c>
      <c r="CG5" s="108"/>
      <c r="CH5" s="73"/>
    </row>
    <row r="6" spans="2:86" ht="30" x14ac:dyDescent="0.25">
      <c r="B6" s="62" t="s">
        <v>102</v>
      </c>
      <c r="C6" s="62" t="s">
        <v>90</v>
      </c>
      <c r="D6" s="33" t="s">
        <v>103</v>
      </c>
      <c r="E6" s="34" t="s">
        <v>62</v>
      </c>
      <c r="F6" s="62" t="s">
        <v>5</v>
      </c>
      <c r="G6" s="62" t="s">
        <v>6</v>
      </c>
      <c r="H6" s="34" t="s">
        <v>89</v>
      </c>
      <c r="I6" s="34" t="s">
        <v>104</v>
      </c>
      <c r="J6" s="62" t="s">
        <v>7</v>
      </c>
      <c r="K6" s="62" t="s">
        <v>8</v>
      </c>
      <c r="L6" s="34" t="s">
        <v>108</v>
      </c>
      <c r="N6" s="69" t="s">
        <v>178</v>
      </c>
      <c r="O6" s="70" t="s">
        <v>179</v>
      </c>
      <c r="P6" s="69" t="s">
        <v>178</v>
      </c>
      <c r="Q6" s="70" t="s">
        <v>179</v>
      </c>
      <c r="R6" s="69" t="s">
        <v>178</v>
      </c>
      <c r="S6" s="70" t="s">
        <v>179</v>
      </c>
      <c r="T6" s="69" t="s">
        <v>178</v>
      </c>
      <c r="U6" s="70" t="s">
        <v>179</v>
      </c>
      <c r="V6" s="69" t="s">
        <v>178</v>
      </c>
      <c r="W6" s="70" t="s">
        <v>179</v>
      </c>
      <c r="X6" s="69" t="s">
        <v>178</v>
      </c>
      <c r="Y6" s="70" t="s">
        <v>179</v>
      </c>
      <c r="Z6" s="69" t="s">
        <v>178</v>
      </c>
      <c r="AA6" s="70" t="s">
        <v>179</v>
      </c>
      <c r="AB6" s="69" t="s">
        <v>178</v>
      </c>
      <c r="AC6" s="70" t="s">
        <v>179</v>
      </c>
      <c r="AD6" s="69" t="s">
        <v>178</v>
      </c>
      <c r="AE6" s="70" t="s">
        <v>179</v>
      </c>
      <c r="AF6" s="69" t="s">
        <v>178</v>
      </c>
      <c r="AG6" s="70" t="s">
        <v>179</v>
      </c>
      <c r="AH6" s="69" t="s">
        <v>178</v>
      </c>
      <c r="AI6" s="70" t="s">
        <v>179</v>
      </c>
      <c r="AJ6" s="69" t="s">
        <v>178</v>
      </c>
      <c r="AK6" s="70" t="s">
        <v>179</v>
      </c>
      <c r="AL6" s="69" t="s">
        <v>178</v>
      </c>
      <c r="AM6" s="70" t="s">
        <v>179</v>
      </c>
      <c r="AN6" s="69" t="s">
        <v>178</v>
      </c>
      <c r="AO6" s="70" t="s">
        <v>179</v>
      </c>
      <c r="AP6" s="69" t="s">
        <v>178</v>
      </c>
      <c r="AQ6" s="70" t="s">
        <v>179</v>
      </c>
      <c r="AR6" s="69" t="s">
        <v>178</v>
      </c>
      <c r="AS6" s="70" t="s">
        <v>179</v>
      </c>
      <c r="AT6" s="69" t="s">
        <v>178</v>
      </c>
      <c r="AU6" s="70" t="s">
        <v>179</v>
      </c>
      <c r="AV6" s="69" t="s">
        <v>178</v>
      </c>
      <c r="AW6" s="70" t="s">
        <v>179</v>
      </c>
      <c r="AX6" s="69" t="s">
        <v>178</v>
      </c>
      <c r="AY6" s="70" t="s">
        <v>179</v>
      </c>
      <c r="AZ6" s="69" t="s">
        <v>178</v>
      </c>
      <c r="BA6" s="70" t="s">
        <v>179</v>
      </c>
      <c r="BB6" s="69" t="s">
        <v>178</v>
      </c>
      <c r="BC6" s="70" t="s">
        <v>179</v>
      </c>
      <c r="BD6" s="69" t="s">
        <v>178</v>
      </c>
      <c r="BE6" s="70" t="s">
        <v>179</v>
      </c>
      <c r="BF6" s="69" t="s">
        <v>178</v>
      </c>
      <c r="BG6" s="70" t="s">
        <v>179</v>
      </c>
      <c r="BH6" s="69" t="s">
        <v>178</v>
      </c>
      <c r="BI6" s="70" t="s">
        <v>179</v>
      </c>
      <c r="BJ6" s="69" t="s">
        <v>178</v>
      </c>
      <c r="BK6" s="70" t="s">
        <v>179</v>
      </c>
      <c r="BL6" s="69" t="s">
        <v>178</v>
      </c>
      <c r="BM6" s="70" t="s">
        <v>179</v>
      </c>
      <c r="BN6" s="69" t="s">
        <v>178</v>
      </c>
      <c r="BO6" s="70" t="s">
        <v>179</v>
      </c>
      <c r="BP6" s="69" t="s">
        <v>178</v>
      </c>
      <c r="BQ6" s="70" t="s">
        <v>179</v>
      </c>
      <c r="BR6" s="69" t="s">
        <v>178</v>
      </c>
      <c r="BS6" s="70" t="s">
        <v>179</v>
      </c>
      <c r="BT6" s="69" t="s">
        <v>178</v>
      </c>
      <c r="BU6" s="70" t="s">
        <v>179</v>
      </c>
      <c r="BV6" s="69" t="s">
        <v>178</v>
      </c>
      <c r="BW6" s="70" t="s">
        <v>179</v>
      </c>
      <c r="BX6" s="69" t="s">
        <v>178</v>
      </c>
      <c r="BY6" s="70" t="s">
        <v>179</v>
      </c>
      <c r="BZ6" s="69" t="s">
        <v>178</v>
      </c>
      <c r="CA6" s="70" t="s">
        <v>179</v>
      </c>
      <c r="CB6" s="69" t="s">
        <v>178</v>
      </c>
      <c r="CC6" s="70" t="s">
        <v>179</v>
      </c>
      <c r="CD6" s="69" t="s">
        <v>178</v>
      </c>
      <c r="CE6" s="70" t="s">
        <v>179</v>
      </c>
      <c r="CF6" s="69" t="s">
        <v>178</v>
      </c>
      <c r="CG6" s="70" t="s">
        <v>179</v>
      </c>
    </row>
    <row r="7" spans="2:86" x14ac:dyDescent="0.25">
      <c r="B7" s="93" t="s">
        <v>199</v>
      </c>
      <c r="C7" s="94"/>
      <c r="D7" s="94"/>
      <c r="E7" s="94"/>
      <c r="F7" s="26"/>
      <c r="G7" s="26"/>
      <c r="H7" s="26"/>
      <c r="I7" s="26"/>
      <c r="J7" s="26"/>
      <c r="K7" s="26"/>
      <c r="L7" s="27">
        <f>SUM(L8:L12)</f>
        <v>1037751.4406150002</v>
      </c>
      <c r="N7" s="71"/>
      <c r="O7" s="72"/>
      <c r="P7" s="71"/>
      <c r="Q7" s="72"/>
      <c r="R7" s="71"/>
      <c r="S7" s="72"/>
      <c r="T7" s="71"/>
      <c r="U7" s="72"/>
      <c r="V7" s="71"/>
      <c r="W7" s="72"/>
      <c r="X7" s="71"/>
      <c r="Y7" s="72"/>
      <c r="Z7" s="71"/>
      <c r="AA7" s="72"/>
      <c r="AB7" s="71"/>
      <c r="AC7" s="72"/>
      <c r="AD7" s="71"/>
      <c r="AE7" s="72"/>
      <c r="AF7" s="71"/>
      <c r="AG7" s="72"/>
      <c r="AH7" s="71"/>
      <c r="AI7" s="72"/>
      <c r="AJ7" s="71"/>
      <c r="AK7" s="72"/>
      <c r="AL7" s="71"/>
      <c r="AM7" s="72"/>
      <c r="AN7" s="71"/>
      <c r="AO7" s="72"/>
      <c r="AP7" s="71"/>
      <c r="AQ7" s="72"/>
      <c r="AR7" s="71"/>
      <c r="AS7" s="72"/>
      <c r="AT7" s="71"/>
      <c r="AU7" s="72"/>
      <c r="AV7" s="71"/>
      <c r="AW7" s="72"/>
      <c r="AX7" s="71"/>
      <c r="AY7" s="72"/>
      <c r="AZ7" s="71"/>
      <c r="BA7" s="72"/>
      <c r="BB7" s="71"/>
      <c r="BC7" s="72"/>
      <c r="BD7" s="71"/>
      <c r="BE7" s="72"/>
      <c r="BF7" s="71"/>
      <c r="BG7" s="72"/>
      <c r="BH7" s="71"/>
      <c r="BI7" s="72"/>
      <c r="BJ7" s="71"/>
      <c r="BK7" s="72"/>
      <c r="BL7" s="71"/>
      <c r="BM7" s="72"/>
      <c r="BN7" s="71"/>
      <c r="BO7" s="72"/>
      <c r="BP7" s="71"/>
      <c r="BQ7" s="72"/>
      <c r="BR7" s="71"/>
      <c r="BS7" s="72"/>
      <c r="BT7" s="71"/>
      <c r="BU7" s="72"/>
      <c r="BV7" s="71"/>
      <c r="BW7" s="72"/>
      <c r="BX7" s="71"/>
      <c r="BY7" s="72"/>
      <c r="BZ7" s="71"/>
      <c r="CA7" s="72"/>
      <c r="CB7" s="71"/>
      <c r="CC7" s="72"/>
      <c r="CD7" s="71"/>
      <c r="CE7" s="72"/>
      <c r="CF7" s="71"/>
      <c r="CG7" s="72"/>
    </row>
    <row r="8" spans="2:86" x14ac:dyDescent="0.25">
      <c r="B8" s="24" t="s">
        <v>180</v>
      </c>
      <c r="C8" s="17" t="s">
        <v>15</v>
      </c>
      <c r="D8" s="18" t="s">
        <v>43</v>
      </c>
      <c r="E8" s="50" t="s">
        <v>68</v>
      </c>
      <c r="F8" s="19" t="s">
        <v>9</v>
      </c>
      <c r="G8" s="19">
        <v>4</v>
      </c>
      <c r="H8" s="19">
        <v>470.89</v>
      </c>
      <c r="I8" s="19">
        <f>H8*(1+$L$5)</f>
        <v>566.71611499999995</v>
      </c>
      <c r="J8" s="19">
        <v>281.49</v>
      </c>
      <c r="K8" s="21">
        <v>36.94</v>
      </c>
      <c r="L8" s="17">
        <f>'SEPULTURAS sem material'!J8</f>
        <v>2266.8644599999998</v>
      </c>
      <c r="N8" s="71">
        <v>1</v>
      </c>
      <c r="O8" s="72">
        <f>$L8*N8</f>
        <v>2266.8644599999998</v>
      </c>
      <c r="P8" s="71"/>
      <c r="Q8" s="72">
        <f>$L8*P8</f>
        <v>0</v>
      </c>
      <c r="R8" s="71"/>
      <c r="S8" s="72">
        <f t="shared" ref="S8:S28" si="35">$L8*R8</f>
        <v>0</v>
      </c>
      <c r="T8" s="71"/>
      <c r="U8" s="72">
        <f t="shared" ref="U8:U28" si="36">$L8*T8</f>
        <v>0</v>
      </c>
      <c r="V8" s="71"/>
      <c r="W8" s="72">
        <f t="shared" ref="W8:W28" si="37">$L8*V8</f>
        <v>0</v>
      </c>
      <c r="X8" s="71"/>
      <c r="Y8" s="72">
        <f t="shared" ref="Y8:Y28" si="38">$L8*X8</f>
        <v>0</v>
      </c>
      <c r="Z8" s="71"/>
      <c r="AA8" s="72">
        <f t="shared" ref="AA8:AA28" si="39">$L8*Z8</f>
        <v>0</v>
      </c>
      <c r="AB8" s="71"/>
      <c r="AC8" s="72">
        <f t="shared" ref="AC8:AC28" si="40">$L8*AB8</f>
        <v>0</v>
      </c>
      <c r="AD8" s="71"/>
      <c r="AE8" s="72">
        <f t="shared" ref="AE8:AE28" si="41">$L8*AD8</f>
        <v>0</v>
      </c>
      <c r="AF8" s="71"/>
      <c r="AG8" s="72">
        <f t="shared" ref="AG8:AG28" si="42">$L8*AF8</f>
        <v>0</v>
      </c>
      <c r="AH8" s="71"/>
      <c r="AI8" s="72">
        <f t="shared" ref="AI8:AI28" si="43">$L8*AH8</f>
        <v>0</v>
      </c>
      <c r="AJ8" s="71"/>
      <c r="AK8" s="72">
        <f t="shared" ref="AK8:AK28" si="44">$L8*AJ8</f>
        <v>0</v>
      </c>
      <c r="AL8" s="71"/>
      <c r="AM8" s="72">
        <f t="shared" ref="AM8:AM28" si="45">$L8*AL8</f>
        <v>0</v>
      </c>
      <c r="AN8" s="71"/>
      <c r="AO8" s="72">
        <f t="shared" ref="AO8:AO28" si="46">$L8*AN8</f>
        <v>0</v>
      </c>
      <c r="AP8" s="71"/>
      <c r="AQ8" s="72">
        <f t="shared" ref="AQ8:AQ28" si="47">$L8*AP8</f>
        <v>0</v>
      </c>
      <c r="AR8" s="71"/>
      <c r="AS8" s="72">
        <f t="shared" ref="AS8:AS28" si="48">$L8*AR8</f>
        <v>0</v>
      </c>
      <c r="AT8" s="72"/>
      <c r="AU8" s="72">
        <f t="shared" ref="AU8:AU28" si="49">$L8*AT8</f>
        <v>0</v>
      </c>
      <c r="AV8" s="71"/>
      <c r="AW8" s="72">
        <f t="shared" ref="AW8:AW28" si="50">$L8*AV8</f>
        <v>0</v>
      </c>
      <c r="AX8" s="71"/>
      <c r="AY8" s="72">
        <f t="shared" ref="AY8:AY11" si="51">$L8*AX8</f>
        <v>0</v>
      </c>
      <c r="AZ8" s="71"/>
      <c r="BA8" s="72">
        <f t="shared" ref="BA8:BA11" si="52">$L8*AZ8</f>
        <v>0</v>
      </c>
      <c r="BB8" s="71"/>
      <c r="BC8" s="72">
        <f t="shared" ref="BC8:BC11" si="53">$L8*BB8</f>
        <v>0</v>
      </c>
      <c r="BD8" s="71"/>
      <c r="BE8" s="72">
        <f t="shared" ref="BE8:BE11" si="54">$L8*BD8</f>
        <v>0</v>
      </c>
      <c r="BF8" s="71"/>
      <c r="BG8" s="72">
        <f t="shared" ref="BG8:BG11" si="55">$L8*BF8</f>
        <v>0</v>
      </c>
      <c r="BH8" s="71"/>
      <c r="BI8" s="72">
        <f t="shared" ref="BI8:BI11" si="56">$L8*BH8</f>
        <v>0</v>
      </c>
      <c r="BJ8" s="71"/>
      <c r="BK8" s="72">
        <f t="shared" ref="BK8:BK11" si="57">$L8*BJ8</f>
        <v>0</v>
      </c>
      <c r="BL8" s="71"/>
      <c r="BM8" s="72">
        <f t="shared" ref="BM8:BM11" si="58">$L8*BL8</f>
        <v>0</v>
      </c>
      <c r="BN8" s="71"/>
      <c r="BO8" s="72">
        <f t="shared" ref="BO8:BO11" si="59">$L8*BN8</f>
        <v>0</v>
      </c>
      <c r="BP8" s="71"/>
      <c r="BQ8" s="72">
        <f t="shared" ref="BQ8:BQ11" si="60">$L8*BP8</f>
        <v>0</v>
      </c>
      <c r="BR8" s="71"/>
      <c r="BS8" s="72">
        <f t="shared" ref="BS8:BS11" si="61">$L8*BR8</f>
        <v>0</v>
      </c>
      <c r="BT8" s="71"/>
      <c r="BU8" s="72">
        <f t="shared" ref="BU8:BU11" si="62">$L8*BT8</f>
        <v>0</v>
      </c>
      <c r="BV8" s="71"/>
      <c r="BW8" s="72">
        <f t="shared" ref="BW8:BW11" si="63">$L8*BV8</f>
        <v>0</v>
      </c>
      <c r="BX8" s="71"/>
      <c r="BY8" s="72">
        <f t="shared" ref="BY8:BY11" si="64">$L8*BX8</f>
        <v>0</v>
      </c>
      <c r="BZ8" s="71"/>
      <c r="CA8" s="72">
        <f t="shared" ref="CA8:CA11" si="65">$L8*BZ8</f>
        <v>0</v>
      </c>
      <c r="CB8" s="71"/>
      <c r="CC8" s="72">
        <f t="shared" ref="CC8:CC11" si="66">$L8*CB8</f>
        <v>0</v>
      </c>
      <c r="CD8" s="71"/>
      <c r="CE8" s="72">
        <f t="shared" ref="CE8:CE11" si="67">$L8*CD8</f>
        <v>0</v>
      </c>
      <c r="CF8" s="71"/>
      <c r="CG8" s="72">
        <f t="shared" ref="CG8:CG11" si="68">$L8*CF8</f>
        <v>0</v>
      </c>
    </row>
    <row r="9" spans="2:86" ht="45" x14ac:dyDescent="0.25">
      <c r="B9" s="24" t="s">
        <v>181</v>
      </c>
      <c r="C9" s="17" t="s">
        <v>15</v>
      </c>
      <c r="D9" s="18" t="s">
        <v>115</v>
      </c>
      <c r="E9" s="50" t="s">
        <v>116</v>
      </c>
      <c r="F9" s="17" t="s">
        <v>10</v>
      </c>
      <c r="G9" s="17">
        <f>((32*2.4*2.2)*1.3)*(2000/(32))</f>
        <v>13728.000000000002</v>
      </c>
      <c r="H9" s="19">
        <v>10.17</v>
      </c>
      <c r="I9" s="19">
        <f>H9*(1+$L$5)</f>
        <v>12.239595</v>
      </c>
      <c r="J9" s="17">
        <f>2.93+5.54</f>
        <v>8.4700000000000006</v>
      </c>
      <c r="K9" s="22">
        <v>3.35</v>
      </c>
      <c r="L9" s="17">
        <f>'SEPULTURAS sem material'!J9</f>
        <v>168025.16016000003</v>
      </c>
      <c r="N9" s="71">
        <f>100%/36</f>
        <v>2.7777777777777776E-2</v>
      </c>
      <c r="O9" s="72">
        <f t="shared" ref="O9:Q28" si="69">$L9*N9</f>
        <v>4667.3655600000002</v>
      </c>
      <c r="P9" s="71">
        <f>100%/36</f>
        <v>2.7777777777777776E-2</v>
      </c>
      <c r="Q9" s="72">
        <f t="shared" si="69"/>
        <v>4667.3655600000002</v>
      </c>
      <c r="R9" s="71">
        <f>100%/36</f>
        <v>2.7777777777777776E-2</v>
      </c>
      <c r="S9" s="72">
        <f t="shared" si="35"/>
        <v>4667.3655600000002</v>
      </c>
      <c r="T9" s="71">
        <f>100%/36</f>
        <v>2.7777777777777776E-2</v>
      </c>
      <c r="U9" s="72">
        <f t="shared" si="36"/>
        <v>4667.3655600000002</v>
      </c>
      <c r="V9" s="71">
        <f>100%/36</f>
        <v>2.7777777777777776E-2</v>
      </c>
      <c r="W9" s="72">
        <f t="shared" si="37"/>
        <v>4667.3655600000002</v>
      </c>
      <c r="X9" s="71">
        <f>100%/36</f>
        <v>2.7777777777777776E-2</v>
      </c>
      <c r="Y9" s="72">
        <f t="shared" si="38"/>
        <v>4667.3655600000002</v>
      </c>
      <c r="Z9" s="71">
        <f>100%/36</f>
        <v>2.7777777777777776E-2</v>
      </c>
      <c r="AA9" s="72">
        <f t="shared" si="39"/>
        <v>4667.3655600000002</v>
      </c>
      <c r="AB9" s="71">
        <f>100%/36</f>
        <v>2.7777777777777776E-2</v>
      </c>
      <c r="AC9" s="72">
        <f t="shared" si="40"/>
        <v>4667.3655600000002</v>
      </c>
      <c r="AD9" s="71">
        <f>100%/36</f>
        <v>2.7777777777777776E-2</v>
      </c>
      <c r="AE9" s="72">
        <f t="shared" si="41"/>
        <v>4667.3655600000002</v>
      </c>
      <c r="AF9" s="71">
        <f>100%/36</f>
        <v>2.7777777777777776E-2</v>
      </c>
      <c r="AG9" s="72">
        <f t="shared" si="42"/>
        <v>4667.3655600000002</v>
      </c>
      <c r="AH9" s="71">
        <f>100%/36</f>
        <v>2.7777777777777776E-2</v>
      </c>
      <c r="AI9" s="72">
        <f t="shared" si="43"/>
        <v>4667.3655600000002</v>
      </c>
      <c r="AJ9" s="71">
        <f>100%/36</f>
        <v>2.7777777777777776E-2</v>
      </c>
      <c r="AK9" s="72">
        <f t="shared" si="44"/>
        <v>4667.3655600000002</v>
      </c>
      <c r="AL9" s="71">
        <f>100%/36</f>
        <v>2.7777777777777776E-2</v>
      </c>
      <c r="AM9" s="72">
        <f t="shared" si="45"/>
        <v>4667.3655600000002</v>
      </c>
      <c r="AN9" s="71">
        <f>100%/36</f>
        <v>2.7777777777777776E-2</v>
      </c>
      <c r="AO9" s="72">
        <f t="shared" si="46"/>
        <v>4667.3655600000002</v>
      </c>
      <c r="AP9" s="71">
        <f>100%/36</f>
        <v>2.7777777777777776E-2</v>
      </c>
      <c r="AQ9" s="72">
        <f t="shared" si="47"/>
        <v>4667.3655600000002</v>
      </c>
      <c r="AR9" s="71">
        <f>100%/36</f>
        <v>2.7777777777777776E-2</v>
      </c>
      <c r="AS9" s="72">
        <f t="shared" si="48"/>
        <v>4667.3655600000002</v>
      </c>
      <c r="AT9" s="71">
        <f>100%/36</f>
        <v>2.7777777777777776E-2</v>
      </c>
      <c r="AU9" s="72">
        <f t="shared" si="49"/>
        <v>4667.3655600000002</v>
      </c>
      <c r="AV9" s="71">
        <f>100%/36</f>
        <v>2.7777777777777776E-2</v>
      </c>
      <c r="AW9" s="72">
        <f t="shared" si="50"/>
        <v>4667.3655600000002</v>
      </c>
      <c r="AX9" s="71">
        <f>100%/36</f>
        <v>2.7777777777777776E-2</v>
      </c>
      <c r="AY9" s="72">
        <f t="shared" si="51"/>
        <v>4667.3655600000002</v>
      </c>
      <c r="AZ9" s="71">
        <f>100%/36</f>
        <v>2.7777777777777776E-2</v>
      </c>
      <c r="BA9" s="72">
        <f t="shared" si="52"/>
        <v>4667.3655600000002</v>
      </c>
      <c r="BB9" s="71">
        <f>100%/36</f>
        <v>2.7777777777777776E-2</v>
      </c>
      <c r="BC9" s="72">
        <f t="shared" si="53"/>
        <v>4667.3655600000002</v>
      </c>
      <c r="BD9" s="71">
        <f>100%/36</f>
        <v>2.7777777777777776E-2</v>
      </c>
      <c r="BE9" s="72">
        <f t="shared" si="54"/>
        <v>4667.3655600000002</v>
      </c>
      <c r="BF9" s="71">
        <f>100%/36</f>
        <v>2.7777777777777776E-2</v>
      </c>
      <c r="BG9" s="72">
        <f t="shared" si="55"/>
        <v>4667.3655600000002</v>
      </c>
      <c r="BH9" s="71">
        <f>100%/36</f>
        <v>2.7777777777777776E-2</v>
      </c>
      <c r="BI9" s="72">
        <f t="shared" si="56"/>
        <v>4667.3655600000002</v>
      </c>
      <c r="BJ9" s="71">
        <f>100%/36</f>
        <v>2.7777777777777776E-2</v>
      </c>
      <c r="BK9" s="72">
        <f t="shared" si="57"/>
        <v>4667.3655600000002</v>
      </c>
      <c r="BL9" s="71">
        <f>100%/36</f>
        <v>2.7777777777777776E-2</v>
      </c>
      <c r="BM9" s="72">
        <f t="shared" si="58"/>
        <v>4667.3655600000002</v>
      </c>
      <c r="BN9" s="71">
        <f>100%/36</f>
        <v>2.7777777777777776E-2</v>
      </c>
      <c r="BO9" s="72">
        <f t="shared" si="59"/>
        <v>4667.3655600000002</v>
      </c>
      <c r="BP9" s="71">
        <f>100%/36</f>
        <v>2.7777777777777776E-2</v>
      </c>
      <c r="BQ9" s="72">
        <f t="shared" si="60"/>
        <v>4667.3655600000002</v>
      </c>
      <c r="BR9" s="71">
        <f>100%/36</f>
        <v>2.7777777777777776E-2</v>
      </c>
      <c r="BS9" s="72">
        <f t="shared" si="61"/>
        <v>4667.3655600000002</v>
      </c>
      <c r="BT9" s="71">
        <f>100%/36</f>
        <v>2.7777777777777776E-2</v>
      </c>
      <c r="BU9" s="72">
        <f t="shared" si="62"/>
        <v>4667.3655600000002</v>
      </c>
      <c r="BV9" s="71">
        <f>100%/36</f>
        <v>2.7777777777777776E-2</v>
      </c>
      <c r="BW9" s="72">
        <f t="shared" si="63"/>
        <v>4667.3655600000002</v>
      </c>
      <c r="BX9" s="71">
        <f>100%/36</f>
        <v>2.7777777777777776E-2</v>
      </c>
      <c r="BY9" s="72">
        <f t="shared" si="64"/>
        <v>4667.3655600000002</v>
      </c>
      <c r="BZ9" s="71">
        <f>100%/36</f>
        <v>2.7777777777777776E-2</v>
      </c>
      <c r="CA9" s="72">
        <f t="shared" si="65"/>
        <v>4667.3655600000002</v>
      </c>
      <c r="CB9" s="71">
        <f>100%/36</f>
        <v>2.7777777777777776E-2</v>
      </c>
      <c r="CC9" s="72">
        <f t="shared" si="66"/>
        <v>4667.3655600000002</v>
      </c>
      <c r="CD9" s="71">
        <f>100%/36</f>
        <v>2.7777777777777776E-2</v>
      </c>
      <c r="CE9" s="72">
        <f t="shared" si="67"/>
        <v>4667.3655600000002</v>
      </c>
      <c r="CF9" s="71">
        <f>100%/36</f>
        <v>2.7777777777777776E-2</v>
      </c>
      <c r="CG9" s="72">
        <f t="shared" si="68"/>
        <v>4667.3655600000002</v>
      </c>
    </row>
    <row r="10" spans="2:86" ht="30" x14ac:dyDescent="0.25">
      <c r="B10" s="24" t="s">
        <v>182</v>
      </c>
      <c r="C10" s="17" t="s">
        <v>15</v>
      </c>
      <c r="D10" s="18" t="s">
        <v>117</v>
      </c>
      <c r="E10" s="50" t="s">
        <v>118</v>
      </c>
      <c r="F10" s="17" t="s">
        <v>10</v>
      </c>
      <c r="G10" s="17">
        <f>G9-2745</f>
        <v>10983.000000000002</v>
      </c>
      <c r="H10" s="19">
        <v>8.7899999999999991</v>
      </c>
      <c r="I10" s="19">
        <f>H10*(1+$L$5)</f>
        <v>10.578764999999999</v>
      </c>
      <c r="J10" s="17">
        <f>3.73+3.77</f>
        <v>7.5</v>
      </c>
      <c r="K10" s="22">
        <v>1.04</v>
      </c>
      <c r="L10" s="17">
        <f>'SEPULTURAS sem material'!J10</f>
        <v>116186.57599500001</v>
      </c>
      <c r="N10" s="71">
        <f t="shared" ref="N10:CF11" si="70">100%/36</f>
        <v>2.7777777777777776E-2</v>
      </c>
      <c r="O10" s="72">
        <f t="shared" si="69"/>
        <v>3227.4048887499998</v>
      </c>
      <c r="P10" s="71">
        <f t="shared" si="70"/>
        <v>2.7777777777777776E-2</v>
      </c>
      <c r="Q10" s="72">
        <f t="shared" si="69"/>
        <v>3227.4048887499998</v>
      </c>
      <c r="R10" s="71">
        <f t="shared" si="70"/>
        <v>2.7777777777777776E-2</v>
      </c>
      <c r="S10" s="72">
        <f t="shared" si="35"/>
        <v>3227.4048887499998</v>
      </c>
      <c r="T10" s="71">
        <f t="shared" si="70"/>
        <v>2.7777777777777776E-2</v>
      </c>
      <c r="U10" s="72">
        <f t="shared" si="36"/>
        <v>3227.4048887499998</v>
      </c>
      <c r="V10" s="71">
        <f t="shared" si="70"/>
        <v>2.7777777777777776E-2</v>
      </c>
      <c r="W10" s="72">
        <f t="shared" si="37"/>
        <v>3227.4048887499998</v>
      </c>
      <c r="X10" s="71">
        <f t="shared" si="70"/>
        <v>2.7777777777777776E-2</v>
      </c>
      <c r="Y10" s="72">
        <f t="shared" si="38"/>
        <v>3227.4048887499998</v>
      </c>
      <c r="Z10" s="71">
        <f t="shared" si="70"/>
        <v>2.7777777777777776E-2</v>
      </c>
      <c r="AA10" s="72">
        <f t="shared" si="39"/>
        <v>3227.4048887499998</v>
      </c>
      <c r="AB10" s="71">
        <f t="shared" si="70"/>
        <v>2.7777777777777776E-2</v>
      </c>
      <c r="AC10" s="72">
        <f t="shared" si="40"/>
        <v>3227.4048887499998</v>
      </c>
      <c r="AD10" s="71">
        <f t="shared" si="70"/>
        <v>2.7777777777777776E-2</v>
      </c>
      <c r="AE10" s="72">
        <f t="shared" si="41"/>
        <v>3227.4048887499998</v>
      </c>
      <c r="AF10" s="71">
        <f t="shared" si="70"/>
        <v>2.7777777777777776E-2</v>
      </c>
      <c r="AG10" s="72">
        <f t="shared" si="42"/>
        <v>3227.4048887499998</v>
      </c>
      <c r="AH10" s="71">
        <f t="shared" si="70"/>
        <v>2.7777777777777776E-2</v>
      </c>
      <c r="AI10" s="72">
        <f t="shared" si="43"/>
        <v>3227.4048887499998</v>
      </c>
      <c r="AJ10" s="71">
        <f t="shared" si="70"/>
        <v>2.7777777777777776E-2</v>
      </c>
      <c r="AK10" s="72">
        <f t="shared" si="44"/>
        <v>3227.4048887499998</v>
      </c>
      <c r="AL10" s="71">
        <f t="shared" si="70"/>
        <v>2.7777777777777776E-2</v>
      </c>
      <c r="AM10" s="72">
        <f t="shared" si="45"/>
        <v>3227.4048887499998</v>
      </c>
      <c r="AN10" s="71">
        <f t="shared" si="70"/>
        <v>2.7777777777777776E-2</v>
      </c>
      <c r="AO10" s="72">
        <f t="shared" si="46"/>
        <v>3227.4048887499998</v>
      </c>
      <c r="AP10" s="71">
        <f t="shared" si="70"/>
        <v>2.7777777777777776E-2</v>
      </c>
      <c r="AQ10" s="72">
        <f t="shared" si="47"/>
        <v>3227.4048887499998</v>
      </c>
      <c r="AR10" s="71">
        <f t="shared" si="70"/>
        <v>2.7777777777777776E-2</v>
      </c>
      <c r="AS10" s="72">
        <f t="shared" si="48"/>
        <v>3227.4048887499998</v>
      </c>
      <c r="AT10" s="71">
        <f t="shared" si="70"/>
        <v>2.7777777777777776E-2</v>
      </c>
      <c r="AU10" s="72">
        <f t="shared" si="49"/>
        <v>3227.4048887499998</v>
      </c>
      <c r="AV10" s="71">
        <f t="shared" si="70"/>
        <v>2.7777777777777776E-2</v>
      </c>
      <c r="AW10" s="72">
        <f t="shared" si="50"/>
        <v>3227.4048887499998</v>
      </c>
      <c r="AX10" s="71">
        <f t="shared" si="70"/>
        <v>2.7777777777777776E-2</v>
      </c>
      <c r="AY10" s="72">
        <f t="shared" si="51"/>
        <v>3227.4048887499998</v>
      </c>
      <c r="AZ10" s="71">
        <f t="shared" si="70"/>
        <v>2.7777777777777776E-2</v>
      </c>
      <c r="BA10" s="72">
        <f t="shared" si="52"/>
        <v>3227.4048887499998</v>
      </c>
      <c r="BB10" s="71">
        <f t="shared" si="70"/>
        <v>2.7777777777777776E-2</v>
      </c>
      <c r="BC10" s="72">
        <f t="shared" si="53"/>
        <v>3227.4048887499998</v>
      </c>
      <c r="BD10" s="71">
        <f t="shared" si="70"/>
        <v>2.7777777777777776E-2</v>
      </c>
      <c r="BE10" s="72">
        <f t="shared" si="54"/>
        <v>3227.4048887499998</v>
      </c>
      <c r="BF10" s="71">
        <f t="shared" si="70"/>
        <v>2.7777777777777776E-2</v>
      </c>
      <c r="BG10" s="72">
        <f t="shared" si="55"/>
        <v>3227.4048887499998</v>
      </c>
      <c r="BH10" s="71">
        <f t="shared" si="70"/>
        <v>2.7777777777777776E-2</v>
      </c>
      <c r="BI10" s="72">
        <f t="shared" si="56"/>
        <v>3227.4048887499998</v>
      </c>
      <c r="BJ10" s="71">
        <f t="shared" si="70"/>
        <v>2.7777777777777776E-2</v>
      </c>
      <c r="BK10" s="72">
        <f t="shared" si="57"/>
        <v>3227.4048887499998</v>
      </c>
      <c r="BL10" s="71">
        <f t="shared" si="70"/>
        <v>2.7777777777777776E-2</v>
      </c>
      <c r="BM10" s="72">
        <f t="shared" si="58"/>
        <v>3227.4048887499998</v>
      </c>
      <c r="BN10" s="71">
        <f t="shared" si="70"/>
        <v>2.7777777777777776E-2</v>
      </c>
      <c r="BO10" s="72">
        <f t="shared" si="59"/>
        <v>3227.4048887499998</v>
      </c>
      <c r="BP10" s="71">
        <f t="shared" si="70"/>
        <v>2.7777777777777776E-2</v>
      </c>
      <c r="BQ10" s="72">
        <f t="shared" si="60"/>
        <v>3227.4048887499998</v>
      </c>
      <c r="BR10" s="71">
        <f t="shared" si="70"/>
        <v>2.7777777777777776E-2</v>
      </c>
      <c r="BS10" s="72">
        <f t="shared" si="61"/>
        <v>3227.4048887499998</v>
      </c>
      <c r="BT10" s="71">
        <f t="shared" si="70"/>
        <v>2.7777777777777776E-2</v>
      </c>
      <c r="BU10" s="72">
        <f t="shared" si="62"/>
        <v>3227.4048887499998</v>
      </c>
      <c r="BV10" s="71">
        <f t="shared" si="70"/>
        <v>2.7777777777777776E-2</v>
      </c>
      <c r="BW10" s="72">
        <f t="shared" si="63"/>
        <v>3227.4048887499998</v>
      </c>
      <c r="BX10" s="71">
        <f t="shared" si="70"/>
        <v>2.7777777777777776E-2</v>
      </c>
      <c r="BY10" s="72">
        <f t="shared" si="64"/>
        <v>3227.4048887499998</v>
      </c>
      <c r="BZ10" s="71">
        <f t="shared" si="70"/>
        <v>2.7777777777777776E-2</v>
      </c>
      <c r="CA10" s="72">
        <f t="shared" si="65"/>
        <v>3227.4048887499998</v>
      </c>
      <c r="CB10" s="71">
        <f t="shared" si="70"/>
        <v>2.7777777777777776E-2</v>
      </c>
      <c r="CC10" s="72">
        <f t="shared" si="66"/>
        <v>3227.4048887499998</v>
      </c>
      <c r="CD10" s="71">
        <f t="shared" si="70"/>
        <v>2.7777777777777776E-2</v>
      </c>
      <c r="CE10" s="72">
        <f t="shared" si="67"/>
        <v>3227.4048887499998</v>
      </c>
      <c r="CF10" s="71">
        <f t="shared" si="70"/>
        <v>2.7777777777777776E-2</v>
      </c>
      <c r="CG10" s="72">
        <f t="shared" si="68"/>
        <v>3227.4048887499998</v>
      </c>
    </row>
    <row r="11" spans="2:86" ht="30" x14ac:dyDescent="0.25">
      <c r="B11" s="24" t="s">
        <v>183</v>
      </c>
      <c r="C11" s="17" t="s">
        <v>15</v>
      </c>
      <c r="D11" s="18" t="s">
        <v>119</v>
      </c>
      <c r="E11" s="20" t="s">
        <v>88</v>
      </c>
      <c r="F11" s="17" t="s">
        <v>26</v>
      </c>
      <c r="G11" s="17">
        <v>1860</v>
      </c>
      <c r="H11" s="19">
        <v>346.8</v>
      </c>
      <c r="I11" s="19">
        <f>H11*(1+$L$5)</f>
        <v>417.37380000000002</v>
      </c>
      <c r="J11" s="17">
        <f>207.86+130.82</f>
        <v>338.68</v>
      </c>
      <c r="K11" s="22">
        <v>27.81</v>
      </c>
      <c r="L11" s="17">
        <f>'SEPULTURAS sem material'!J11</f>
        <v>751272.84000000008</v>
      </c>
      <c r="N11" s="71">
        <f t="shared" si="70"/>
        <v>2.7777777777777776E-2</v>
      </c>
      <c r="O11" s="72">
        <f t="shared" si="69"/>
        <v>20868.690000000002</v>
      </c>
      <c r="P11" s="71">
        <f t="shared" si="70"/>
        <v>2.7777777777777776E-2</v>
      </c>
      <c r="Q11" s="72">
        <f t="shared" si="69"/>
        <v>20868.690000000002</v>
      </c>
      <c r="R11" s="71">
        <f t="shared" si="70"/>
        <v>2.7777777777777776E-2</v>
      </c>
      <c r="S11" s="72">
        <f t="shared" si="35"/>
        <v>20868.690000000002</v>
      </c>
      <c r="T11" s="71">
        <f t="shared" si="70"/>
        <v>2.7777777777777776E-2</v>
      </c>
      <c r="U11" s="72">
        <f t="shared" si="36"/>
        <v>20868.690000000002</v>
      </c>
      <c r="V11" s="71">
        <f t="shared" si="70"/>
        <v>2.7777777777777776E-2</v>
      </c>
      <c r="W11" s="72">
        <f t="shared" si="37"/>
        <v>20868.690000000002</v>
      </c>
      <c r="X11" s="71">
        <f t="shared" si="70"/>
        <v>2.7777777777777776E-2</v>
      </c>
      <c r="Y11" s="72">
        <f t="shared" si="38"/>
        <v>20868.690000000002</v>
      </c>
      <c r="Z11" s="71">
        <f t="shared" si="70"/>
        <v>2.7777777777777776E-2</v>
      </c>
      <c r="AA11" s="72">
        <f t="shared" si="39"/>
        <v>20868.690000000002</v>
      </c>
      <c r="AB11" s="71">
        <f t="shared" si="70"/>
        <v>2.7777777777777776E-2</v>
      </c>
      <c r="AC11" s="72">
        <f t="shared" si="40"/>
        <v>20868.690000000002</v>
      </c>
      <c r="AD11" s="71">
        <f t="shared" si="70"/>
        <v>2.7777777777777776E-2</v>
      </c>
      <c r="AE11" s="72">
        <f t="shared" si="41"/>
        <v>20868.690000000002</v>
      </c>
      <c r="AF11" s="71">
        <f t="shared" si="70"/>
        <v>2.7777777777777776E-2</v>
      </c>
      <c r="AG11" s="72">
        <f t="shared" si="42"/>
        <v>20868.690000000002</v>
      </c>
      <c r="AH11" s="71">
        <f t="shared" si="70"/>
        <v>2.7777777777777776E-2</v>
      </c>
      <c r="AI11" s="72">
        <f t="shared" si="43"/>
        <v>20868.690000000002</v>
      </c>
      <c r="AJ11" s="71">
        <f t="shared" si="70"/>
        <v>2.7777777777777776E-2</v>
      </c>
      <c r="AK11" s="72">
        <f t="shared" si="44"/>
        <v>20868.690000000002</v>
      </c>
      <c r="AL11" s="71">
        <f t="shared" si="70"/>
        <v>2.7777777777777776E-2</v>
      </c>
      <c r="AM11" s="72">
        <f t="shared" si="45"/>
        <v>20868.690000000002</v>
      </c>
      <c r="AN11" s="71">
        <f t="shared" si="70"/>
        <v>2.7777777777777776E-2</v>
      </c>
      <c r="AO11" s="72">
        <f t="shared" si="46"/>
        <v>20868.690000000002</v>
      </c>
      <c r="AP11" s="71">
        <f t="shared" si="70"/>
        <v>2.7777777777777776E-2</v>
      </c>
      <c r="AQ11" s="72">
        <f t="shared" si="47"/>
        <v>20868.690000000002</v>
      </c>
      <c r="AR11" s="71">
        <f t="shared" si="70"/>
        <v>2.7777777777777776E-2</v>
      </c>
      <c r="AS11" s="72">
        <f t="shared" si="48"/>
        <v>20868.690000000002</v>
      </c>
      <c r="AT11" s="71">
        <f t="shared" si="70"/>
        <v>2.7777777777777776E-2</v>
      </c>
      <c r="AU11" s="72">
        <f t="shared" si="49"/>
        <v>20868.690000000002</v>
      </c>
      <c r="AV11" s="71">
        <f t="shared" si="70"/>
        <v>2.7777777777777776E-2</v>
      </c>
      <c r="AW11" s="72">
        <f t="shared" si="50"/>
        <v>20868.690000000002</v>
      </c>
      <c r="AX11" s="71">
        <f t="shared" si="70"/>
        <v>2.7777777777777776E-2</v>
      </c>
      <c r="AY11" s="72">
        <f t="shared" si="51"/>
        <v>20868.690000000002</v>
      </c>
      <c r="AZ11" s="71">
        <f t="shared" si="70"/>
        <v>2.7777777777777776E-2</v>
      </c>
      <c r="BA11" s="72">
        <f t="shared" si="52"/>
        <v>20868.690000000002</v>
      </c>
      <c r="BB11" s="71">
        <f t="shared" si="70"/>
        <v>2.7777777777777776E-2</v>
      </c>
      <c r="BC11" s="72">
        <f t="shared" si="53"/>
        <v>20868.690000000002</v>
      </c>
      <c r="BD11" s="71">
        <f t="shared" si="70"/>
        <v>2.7777777777777776E-2</v>
      </c>
      <c r="BE11" s="72">
        <f t="shared" si="54"/>
        <v>20868.690000000002</v>
      </c>
      <c r="BF11" s="71">
        <f t="shared" si="70"/>
        <v>2.7777777777777776E-2</v>
      </c>
      <c r="BG11" s="72">
        <f t="shared" si="55"/>
        <v>20868.690000000002</v>
      </c>
      <c r="BH11" s="71">
        <f t="shared" si="70"/>
        <v>2.7777777777777776E-2</v>
      </c>
      <c r="BI11" s="72">
        <f t="shared" si="56"/>
        <v>20868.690000000002</v>
      </c>
      <c r="BJ11" s="71">
        <f t="shared" si="70"/>
        <v>2.7777777777777776E-2</v>
      </c>
      <c r="BK11" s="72">
        <f t="shared" si="57"/>
        <v>20868.690000000002</v>
      </c>
      <c r="BL11" s="71">
        <f t="shared" si="70"/>
        <v>2.7777777777777776E-2</v>
      </c>
      <c r="BM11" s="72">
        <f t="shared" si="58"/>
        <v>20868.690000000002</v>
      </c>
      <c r="BN11" s="71">
        <f t="shared" si="70"/>
        <v>2.7777777777777776E-2</v>
      </c>
      <c r="BO11" s="72">
        <f t="shared" si="59"/>
        <v>20868.690000000002</v>
      </c>
      <c r="BP11" s="71">
        <f t="shared" si="70"/>
        <v>2.7777777777777776E-2</v>
      </c>
      <c r="BQ11" s="72">
        <f t="shared" si="60"/>
        <v>20868.690000000002</v>
      </c>
      <c r="BR11" s="71">
        <f t="shared" si="70"/>
        <v>2.7777777777777776E-2</v>
      </c>
      <c r="BS11" s="72">
        <f t="shared" si="61"/>
        <v>20868.690000000002</v>
      </c>
      <c r="BT11" s="71">
        <f t="shared" si="70"/>
        <v>2.7777777777777776E-2</v>
      </c>
      <c r="BU11" s="72">
        <f t="shared" si="62"/>
        <v>20868.690000000002</v>
      </c>
      <c r="BV11" s="71">
        <f t="shared" si="70"/>
        <v>2.7777777777777776E-2</v>
      </c>
      <c r="BW11" s="72">
        <f t="shared" si="63"/>
        <v>20868.690000000002</v>
      </c>
      <c r="BX11" s="71">
        <f t="shared" si="70"/>
        <v>2.7777777777777776E-2</v>
      </c>
      <c r="BY11" s="72">
        <f t="shared" si="64"/>
        <v>20868.690000000002</v>
      </c>
      <c r="BZ11" s="71">
        <f t="shared" si="70"/>
        <v>2.7777777777777776E-2</v>
      </c>
      <c r="CA11" s="72">
        <f t="shared" si="65"/>
        <v>20868.690000000002</v>
      </c>
      <c r="CB11" s="71">
        <f t="shared" si="70"/>
        <v>2.7777777777777776E-2</v>
      </c>
      <c r="CC11" s="72">
        <f t="shared" si="66"/>
        <v>20868.690000000002</v>
      </c>
      <c r="CD11" s="71">
        <f t="shared" si="70"/>
        <v>2.7777777777777776E-2</v>
      </c>
      <c r="CE11" s="72">
        <f t="shared" si="67"/>
        <v>20868.690000000002</v>
      </c>
      <c r="CF11" s="71">
        <f t="shared" si="70"/>
        <v>2.7777777777777776E-2</v>
      </c>
      <c r="CG11" s="72">
        <f t="shared" si="68"/>
        <v>20868.690000000002</v>
      </c>
    </row>
    <row r="12" spans="2:86" x14ac:dyDescent="0.25">
      <c r="B12" s="24" t="s">
        <v>184</v>
      </c>
      <c r="C12" s="17"/>
      <c r="D12" s="18"/>
      <c r="E12" s="20"/>
      <c r="F12" s="17"/>
      <c r="G12" s="17"/>
      <c r="H12" s="19">
        <f>J12+K12</f>
        <v>0</v>
      </c>
      <c r="I12" s="19"/>
      <c r="J12" s="17"/>
      <c r="K12" s="22"/>
      <c r="L12" s="17"/>
      <c r="N12" s="71"/>
      <c r="O12" s="72"/>
      <c r="P12" s="71"/>
      <c r="Q12" s="72"/>
      <c r="R12" s="71"/>
      <c r="S12" s="72"/>
      <c r="T12" s="71"/>
      <c r="U12" s="72"/>
      <c r="V12" s="71"/>
      <c r="W12" s="72"/>
      <c r="X12" s="71"/>
      <c r="Y12" s="72"/>
      <c r="Z12" s="71"/>
      <c r="AA12" s="72"/>
      <c r="AB12" s="71"/>
      <c r="AC12" s="72"/>
      <c r="AD12" s="71"/>
      <c r="AE12" s="72"/>
      <c r="AF12" s="71"/>
      <c r="AG12" s="72"/>
      <c r="AH12" s="71"/>
      <c r="AI12" s="72"/>
      <c r="AJ12" s="71"/>
      <c r="AK12" s="72"/>
      <c r="AL12" s="71"/>
      <c r="AM12" s="72"/>
      <c r="AN12" s="71"/>
      <c r="AO12" s="72"/>
      <c r="AP12" s="71"/>
      <c r="AQ12" s="72"/>
      <c r="AR12" s="71"/>
      <c r="AS12" s="72"/>
      <c r="AT12" s="71"/>
      <c r="AU12" s="72"/>
      <c r="AV12" s="71"/>
      <c r="AW12" s="72"/>
      <c r="AX12" s="71"/>
      <c r="AY12" s="72"/>
      <c r="AZ12" s="71"/>
      <c r="BA12" s="72"/>
      <c r="BB12" s="71"/>
      <c r="BC12" s="72"/>
      <c r="BD12" s="71"/>
      <c r="BE12" s="72"/>
      <c r="BF12" s="71"/>
      <c r="BG12" s="72"/>
      <c r="BH12" s="71"/>
      <c r="BI12" s="72"/>
      <c r="BJ12" s="71"/>
      <c r="BK12" s="72"/>
      <c r="BL12" s="71"/>
      <c r="BM12" s="72"/>
      <c r="BN12" s="71"/>
      <c r="BO12" s="72"/>
      <c r="BP12" s="71"/>
      <c r="BQ12" s="72"/>
      <c r="BR12" s="71"/>
      <c r="BS12" s="72"/>
      <c r="BT12" s="71"/>
      <c r="BU12" s="72"/>
      <c r="BV12" s="71"/>
      <c r="BW12" s="72"/>
      <c r="BX12" s="71"/>
      <c r="BY12" s="72"/>
      <c r="BZ12" s="71"/>
      <c r="CA12" s="72"/>
      <c r="CB12" s="71"/>
      <c r="CC12" s="72"/>
      <c r="CD12" s="71"/>
      <c r="CE12" s="72"/>
      <c r="CF12" s="71"/>
      <c r="CG12" s="72"/>
    </row>
    <row r="13" spans="2:86" x14ac:dyDescent="0.25">
      <c r="B13" s="93" t="s">
        <v>185</v>
      </c>
      <c r="C13" s="94"/>
      <c r="D13" s="94"/>
      <c r="E13" s="94"/>
      <c r="F13" s="26"/>
      <c r="G13" s="26"/>
      <c r="H13" s="19">
        <f>J13+K13</f>
        <v>0</v>
      </c>
      <c r="I13" s="26"/>
      <c r="J13" s="26"/>
      <c r="K13" s="26"/>
      <c r="L13" s="27">
        <f>SUM(L14:L19)</f>
        <v>3394983.9985933998</v>
      </c>
      <c r="N13" s="71"/>
      <c r="O13" s="72"/>
      <c r="P13" s="71"/>
      <c r="Q13" s="72"/>
      <c r="R13" s="71"/>
      <c r="S13" s="72"/>
      <c r="T13" s="71"/>
      <c r="U13" s="72"/>
      <c r="V13" s="71"/>
      <c r="W13" s="72"/>
      <c r="X13" s="71"/>
      <c r="Y13" s="72"/>
      <c r="Z13" s="71"/>
      <c r="AA13" s="72"/>
      <c r="AB13" s="71"/>
      <c r="AC13" s="72"/>
      <c r="AD13" s="71"/>
      <c r="AE13" s="72"/>
      <c r="AF13" s="71"/>
      <c r="AG13" s="72"/>
      <c r="AH13" s="71"/>
      <c r="AI13" s="72"/>
      <c r="AJ13" s="71"/>
      <c r="AK13" s="72"/>
      <c r="AL13" s="71"/>
      <c r="AM13" s="72"/>
      <c r="AN13" s="71"/>
      <c r="AO13" s="72"/>
      <c r="AP13" s="71"/>
      <c r="AQ13" s="72"/>
      <c r="AR13" s="71"/>
      <c r="AS13" s="72"/>
      <c r="AT13" s="71"/>
      <c r="AU13" s="72"/>
      <c r="AV13" s="71"/>
      <c r="AW13" s="72"/>
      <c r="AX13" s="71"/>
      <c r="AY13" s="72"/>
      <c r="AZ13" s="71"/>
      <c r="BA13" s="72"/>
      <c r="BB13" s="71"/>
      <c r="BC13" s="72"/>
      <c r="BD13" s="71"/>
      <c r="BE13" s="72"/>
      <c r="BF13" s="71"/>
      <c r="BG13" s="72"/>
      <c r="BH13" s="71"/>
      <c r="BI13" s="72"/>
      <c r="BJ13" s="71"/>
      <c r="BK13" s="72"/>
      <c r="BL13" s="71"/>
      <c r="BM13" s="72"/>
      <c r="BN13" s="71"/>
      <c r="BO13" s="72"/>
      <c r="BP13" s="71"/>
      <c r="BQ13" s="72"/>
      <c r="BR13" s="71"/>
      <c r="BS13" s="72"/>
      <c r="BT13" s="71"/>
      <c r="BU13" s="72"/>
      <c r="BV13" s="71"/>
      <c r="BW13" s="72"/>
      <c r="BX13" s="71"/>
      <c r="BY13" s="72"/>
      <c r="BZ13" s="71"/>
      <c r="CA13" s="72"/>
      <c r="CB13" s="71"/>
      <c r="CC13" s="72"/>
      <c r="CD13" s="71"/>
      <c r="CE13" s="72"/>
      <c r="CF13" s="71"/>
      <c r="CG13" s="72"/>
    </row>
    <row r="14" spans="2:86" ht="30" x14ac:dyDescent="0.25">
      <c r="B14" s="24" t="s">
        <v>91</v>
      </c>
      <c r="C14" s="17" t="s">
        <v>15</v>
      </c>
      <c r="D14" s="18" t="s">
        <v>162</v>
      </c>
      <c r="E14" s="20" t="s">
        <v>163</v>
      </c>
      <c r="F14" s="17" t="s">
        <v>9</v>
      </c>
      <c r="G14" s="17">
        <f>32*2.4*(2000/32)*1.1</f>
        <v>5280</v>
      </c>
      <c r="H14" s="19">
        <v>4.09</v>
      </c>
      <c r="I14" s="19">
        <f t="shared" ref="I14:I19" si="71">H14*(1+$L$5)</f>
        <v>4.9223150000000002</v>
      </c>
      <c r="J14" s="17">
        <f>58.17+0.11</f>
        <v>58.28</v>
      </c>
      <c r="K14" s="22">
        <v>24.53</v>
      </c>
      <c r="L14" s="17">
        <f>'SEPULTURAS sem material'!J14</f>
        <v>25989.823200000003</v>
      </c>
      <c r="M14" s="16"/>
      <c r="N14" s="71">
        <f t="shared" ref="N14:CF19" si="72">100%/36</f>
        <v>2.7777777777777776E-2</v>
      </c>
      <c r="O14" s="72">
        <f t="shared" si="69"/>
        <v>721.93953333333332</v>
      </c>
      <c r="P14" s="71">
        <f t="shared" si="72"/>
        <v>2.7777777777777776E-2</v>
      </c>
      <c r="Q14" s="72">
        <f t="shared" si="69"/>
        <v>721.93953333333332</v>
      </c>
      <c r="R14" s="71">
        <f t="shared" si="72"/>
        <v>2.7777777777777776E-2</v>
      </c>
      <c r="S14" s="72">
        <f t="shared" si="35"/>
        <v>721.93953333333332</v>
      </c>
      <c r="T14" s="71">
        <f t="shared" si="72"/>
        <v>2.7777777777777776E-2</v>
      </c>
      <c r="U14" s="72">
        <f t="shared" si="36"/>
        <v>721.93953333333332</v>
      </c>
      <c r="V14" s="71">
        <f t="shared" si="72"/>
        <v>2.7777777777777776E-2</v>
      </c>
      <c r="W14" s="72">
        <f t="shared" si="37"/>
        <v>721.93953333333332</v>
      </c>
      <c r="X14" s="71">
        <f t="shared" si="72"/>
        <v>2.7777777777777776E-2</v>
      </c>
      <c r="Y14" s="72">
        <f t="shared" si="38"/>
        <v>721.93953333333332</v>
      </c>
      <c r="Z14" s="71">
        <f t="shared" si="72"/>
        <v>2.7777777777777776E-2</v>
      </c>
      <c r="AA14" s="72">
        <f t="shared" si="39"/>
        <v>721.93953333333332</v>
      </c>
      <c r="AB14" s="71">
        <f t="shared" si="72"/>
        <v>2.7777777777777776E-2</v>
      </c>
      <c r="AC14" s="72">
        <f t="shared" si="40"/>
        <v>721.93953333333332</v>
      </c>
      <c r="AD14" s="71">
        <f t="shared" si="72"/>
        <v>2.7777777777777776E-2</v>
      </c>
      <c r="AE14" s="72">
        <f t="shared" si="41"/>
        <v>721.93953333333332</v>
      </c>
      <c r="AF14" s="71">
        <f t="shared" si="72"/>
        <v>2.7777777777777776E-2</v>
      </c>
      <c r="AG14" s="72">
        <f t="shared" si="42"/>
        <v>721.93953333333332</v>
      </c>
      <c r="AH14" s="71">
        <f t="shared" si="72"/>
        <v>2.7777777777777776E-2</v>
      </c>
      <c r="AI14" s="72">
        <f t="shared" si="43"/>
        <v>721.93953333333332</v>
      </c>
      <c r="AJ14" s="71">
        <f t="shared" si="72"/>
        <v>2.7777777777777776E-2</v>
      </c>
      <c r="AK14" s="72">
        <f t="shared" si="44"/>
        <v>721.93953333333332</v>
      </c>
      <c r="AL14" s="71">
        <f t="shared" si="72"/>
        <v>2.7777777777777776E-2</v>
      </c>
      <c r="AM14" s="72">
        <f t="shared" si="45"/>
        <v>721.93953333333332</v>
      </c>
      <c r="AN14" s="71">
        <f t="shared" si="72"/>
        <v>2.7777777777777776E-2</v>
      </c>
      <c r="AO14" s="72">
        <f t="shared" si="46"/>
        <v>721.93953333333332</v>
      </c>
      <c r="AP14" s="71">
        <f t="shared" si="72"/>
        <v>2.7777777777777776E-2</v>
      </c>
      <c r="AQ14" s="72">
        <f t="shared" si="47"/>
        <v>721.93953333333332</v>
      </c>
      <c r="AR14" s="71">
        <f t="shared" si="72"/>
        <v>2.7777777777777776E-2</v>
      </c>
      <c r="AS14" s="72">
        <f t="shared" si="48"/>
        <v>721.93953333333332</v>
      </c>
      <c r="AT14" s="71">
        <f t="shared" si="72"/>
        <v>2.7777777777777776E-2</v>
      </c>
      <c r="AU14" s="72">
        <f t="shared" si="49"/>
        <v>721.93953333333332</v>
      </c>
      <c r="AV14" s="71">
        <f t="shared" si="72"/>
        <v>2.7777777777777776E-2</v>
      </c>
      <c r="AW14" s="72">
        <f t="shared" si="50"/>
        <v>721.93953333333332</v>
      </c>
      <c r="AX14" s="71">
        <f t="shared" si="72"/>
        <v>2.7777777777777776E-2</v>
      </c>
      <c r="AY14" s="72">
        <f t="shared" ref="AY14:AY19" si="73">$L14*AX14</f>
        <v>721.93953333333332</v>
      </c>
      <c r="AZ14" s="71">
        <f t="shared" si="72"/>
        <v>2.7777777777777776E-2</v>
      </c>
      <c r="BA14" s="72">
        <f t="shared" ref="BA14:BA19" si="74">$L14*AZ14</f>
        <v>721.93953333333332</v>
      </c>
      <c r="BB14" s="71">
        <f t="shared" si="72"/>
        <v>2.7777777777777776E-2</v>
      </c>
      <c r="BC14" s="72">
        <f t="shared" ref="BC14:BC19" si="75">$L14*BB14</f>
        <v>721.93953333333332</v>
      </c>
      <c r="BD14" s="71">
        <f t="shared" si="72"/>
        <v>2.7777777777777776E-2</v>
      </c>
      <c r="BE14" s="72">
        <f t="shared" ref="BE14:BE19" si="76">$L14*BD14</f>
        <v>721.93953333333332</v>
      </c>
      <c r="BF14" s="71">
        <f t="shared" si="72"/>
        <v>2.7777777777777776E-2</v>
      </c>
      <c r="BG14" s="72">
        <f t="shared" ref="BG14:BG19" si="77">$L14*BF14</f>
        <v>721.93953333333332</v>
      </c>
      <c r="BH14" s="71">
        <f t="shared" si="72"/>
        <v>2.7777777777777776E-2</v>
      </c>
      <c r="BI14" s="72">
        <f t="shared" ref="BI14:BI19" si="78">$L14*BH14</f>
        <v>721.93953333333332</v>
      </c>
      <c r="BJ14" s="71">
        <f t="shared" si="72"/>
        <v>2.7777777777777776E-2</v>
      </c>
      <c r="BK14" s="72">
        <f t="shared" ref="BK14:BK19" si="79">$L14*BJ14</f>
        <v>721.93953333333332</v>
      </c>
      <c r="BL14" s="71">
        <f t="shared" si="72"/>
        <v>2.7777777777777776E-2</v>
      </c>
      <c r="BM14" s="72">
        <f t="shared" ref="BM14:BM19" si="80">$L14*BL14</f>
        <v>721.93953333333332</v>
      </c>
      <c r="BN14" s="71">
        <f t="shared" si="72"/>
        <v>2.7777777777777776E-2</v>
      </c>
      <c r="BO14" s="72">
        <f t="shared" ref="BO14:BO19" si="81">$L14*BN14</f>
        <v>721.93953333333332</v>
      </c>
      <c r="BP14" s="71">
        <f t="shared" si="72"/>
        <v>2.7777777777777776E-2</v>
      </c>
      <c r="BQ14" s="72">
        <f t="shared" ref="BQ14:BQ19" si="82">$L14*BP14</f>
        <v>721.93953333333332</v>
      </c>
      <c r="BR14" s="71">
        <f t="shared" si="72"/>
        <v>2.7777777777777776E-2</v>
      </c>
      <c r="BS14" s="72">
        <f t="shared" ref="BS14:BS19" si="83">$L14*BR14</f>
        <v>721.93953333333332</v>
      </c>
      <c r="BT14" s="71">
        <f t="shared" si="72"/>
        <v>2.7777777777777776E-2</v>
      </c>
      <c r="BU14" s="72">
        <f t="shared" ref="BU14:BU19" si="84">$L14*BT14</f>
        <v>721.93953333333332</v>
      </c>
      <c r="BV14" s="71">
        <f t="shared" si="72"/>
        <v>2.7777777777777776E-2</v>
      </c>
      <c r="BW14" s="72">
        <f t="shared" ref="BW14:BW19" si="85">$L14*BV14</f>
        <v>721.93953333333332</v>
      </c>
      <c r="BX14" s="71">
        <f t="shared" si="72"/>
        <v>2.7777777777777776E-2</v>
      </c>
      <c r="BY14" s="72">
        <f t="shared" ref="BY14:BY19" si="86">$L14*BX14</f>
        <v>721.93953333333332</v>
      </c>
      <c r="BZ14" s="71">
        <f t="shared" si="72"/>
        <v>2.7777777777777776E-2</v>
      </c>
      <c r="CA14" s="72">
        <f t="shared" ref="CA14:CA19" si="87">$L14*BZ14</f>
        <v>721.93953333333332</v>
      </c>
      <c r="CB14" s="71">
        <f t="shared" si="72"/>
        <v>2.7777777777777776E-2</v>
      </c>
      <c r="CC14" s="72">
        <f t="shared" ref="CC14:CC19" si="88">$L14*CB14</f>
        <v>721.93953333333332</v>
      </c>
      <c r="CD14" s="71">
        <f t="shared" si="72"/>
        <v>2.7777777777777776E-2</v>
      </c>
      <c r="CE14" s="72">
        <f t="shared" ref="CE14:CE19" si="89">$L14*CD14</f>
        <v>721.93953333333332</v>
      </c>
      <c r="CF14" s="71">
        <f t="shared" si="72"/>
        <v>2.7777777777777776E-2</v>
      </c>
      <c r="CG14" s="72">
        <f t="shared" ref="CG14:CG19" si="90">$L14*CF14</f>
        <v>721.93953333333332</v>
      </c>
    </row>
    <row r="15" spans="2:86" ht="30" x14ac:dyDescent="0.25">
      <c r="B15" s="24" t="s">
        <v>187</v>
      </c>
      <c r="C15" s="17" t="s">
        <v>15</v>
      </c>
      <c r="D15" s="18" t="s">
        <v>164</v>
      </c>
      <c r="E15" s="20" t="s">
        <v>165</v>
      </c>
      <c r="F15" s="17" t="s">
        <v>9</v>
      </c>
      <c r="G15" s="17">
        <f>32*2.4*(2000/32)*1.1</f>
        <v>5280</v>
      </c>
      <c r="H15" s="19">
        <v>4.3600000000000003</v>
      </c>
      <c r="I15" s="19">
        <f t="shared" si="71"/>
        <v>5.2472600000000007</v>
      </c>
      <c r="J15" s="17">
        <f>58.17+0.11</f>
        <v>58.28</v>
      </c>
      <c r="K15" s="22">
        <v>24.53</v>
      </c>
      <c r="L15" s="17">
        <f>'SEPULTURAS sem material'!J15</f>
        <v>27705.532800000004</v>
      </c>
      <c r="M15" s="16"/>
      <c r="N15" s="71">
        <f t="shared" si="72"/>
        <v>2.7777777777777776E-2</v>
      </c>
      <c r="O15" s="72">
        <f t="shared" si="69"/>
        <v>769.59813333333341</v>
      </c>
      <c r="P15" s="71">
        <f t="shared" si="72"/>
        <v>2.7777777777777776E-2</v>
      </c>
      <c r="Q15" s="72">
        <f t="shared" si="69"/>
        <v>769.59813333333341</v>
      </c>
      <c r="R15" s="71">
        <f t="shared" si="72"/>
        <v>2.7777777777777776E-2</v>
      </c>
      <c r="S15" s="72">
        <f t="shared" si="35"/>
        <v>769.59813333333341</v>
      </c>
      <c r="T15" s="71">
        <f t="shared" si="72"/>
        <v>2.7777777777777776E-2</v>
      </c>
      <c r="U15" s="72">
        <f t="shared" si="36"/>
        <v>769.59813333333341</v>
      </c>
      <c r="V15" s="71">
        <f t="shared" si="72"/>
        <v>2.7777777777777776E-2</v>
      </c>
      <c r="W15" s="72">
        <f t="shared" si="37"/>
        <v>769.59813333333341</v>
      </c>
      <c r="X15" s="71">
        <f t="shared" si="72"/>
        <v>2.7777777777777776E-2</v>
      </c>
      <c r="Y15" s="72">
        <f t="shared" si="38"/>
        <v>769.59813333333341</v>
      </c>
      <c r="Z15" s="71">
        <f t="shared" si="72"/>
        <v>2.7777777777777776E-2</v>
      </c>
      <c r="AA15" s="72">
        <f t="shared" si="39"/>
        <v>769.59813333333341</v>
      </c>
      <c r="AB15" s="71">
        <f t="shared" si="72"/>
        <v>2.7777777777777776E-2</v>
      </c>
      <c r="AC15" s="72">
        <f t="shared" si="40"/>
        <v>769.59813333333341</v>
      </c>
      <c r="AD15" s="71">
        <f t="shared" si="72"/>
        <v>2.7777777777777776E-2</v>
      </c>
      <c r="AE15" s="72">
        <f t="shared" si="41"/>
        <v>769.59813333333341</v>
      </c>
      <c r="AF15" s="71">
        <f t="shared" si="72"/>
        <v>2.7777777777777776E-2</v>
      </c>
      <c r="AG15" s="72">
        <f t="shared" si="42"/>
        <v>769.59813333333341</v>
      </c>
      <c r="AH15" s="71">
        <f t="shared" si="72"/>
        <v>2.7777777777777776E-2</v>
      </c>
      <c r="AI15" s="72">
        <f t="shared" si="43"/>
        <v>769.59813333333341</v>
      </c>
      <c r="AJ15" s="71">
        <f t="shared" si="72"/>
        <v>2.7777777777777776E-2</v>
      </c>
      <c r="AK15" s="72">
        <f t="shared" si="44"/>
        <v>769.59813333333341</v>
      </c>
      <c r="AL15" s="71">
        <f t="shared" si="72"/>
        <v>2.7777777777777776E-2</v>
      </c>
      <c r="AM15" s="72">
        <f t="shared" si="45"/>
        <v>769.59813333333341</v>
      </c>
      <c r="AN15" s="71">
        <f t="shared" si="72"/>
        <v>2.7777777777777776E-2</v>
      </c>
      <c r="AO15" s="72">
        <f t="shared" si="46"/>
        <v>769.59813333333341</v>
      </c>
      <c r="AP15" s="71">
        <f t="shared" si="72"/>
        <v>2.7777777777777776E-2</v>
      </c>
      <c r="AQ15" s="72">
        <f t="shared" si="47"/>
        <v>769.59813333333341</v>
      </c>
      <c r="AR15" s="71">
        <f t="shared" si="72"/>
        <v>2.7777777777777776E-2</v>
      </c>
      <c r="AS15" s="72">
        <f t="shared" si="48"/>
        <v>769.59813333333341</v>
      </c>
      <c r="AT15" s="71">
        <f t="shared" si="72"/>
        <v>2.7777777777777776E-2</v>
      </c>
      <c r="AU15" s="72">
        <f t="shared" si="49"/>
        <v>769.59813333333341</v>
      </c>
      <c r="AV15" s="71">
        <f t="shared" si="72"/>
        <v>2.7777777777777776E-2</v>
      </c>
      <c r="AW15" s="72">
        <f t="shared" si="50"/>
        <v>769.59813333333341</v>
      </c>
      <c r="AX15" s="71">
        <f t="shared" si="72"/>
        <v>2.7777777777777776E-2</v>
      </c>
      <c r="AY15" s="72">
        <f t="shared" si="73"/>
        <v>769.59813333333341</v>
      </c>
      <c r="AZ15" s="71">
        <f t="shared" si="72"/>
        <v>2.7777777777777776E-2</v>
      </c>
      <c r="BA15" s="72">
        <f t="shared" si="74"/>
        <v>769.59813333333341</v>
      </c>
      <c r="BB15" s="71">
        <f t="shared" si="72"/>
        <v>2.7777777777777776E-2</v>
      </c>
      <c r="BC15" s="72">
        <f t="shared" si="75"/>
        <v>769.59813333333341</v>
      </c>
      <c r="BD15" s="71">
        <f t="shared" si="72"/>
        <v>2.7777777777777776E-2</v>
      </c>
      <c r="BE15" s="72">
        <f t="shared" si="76"/>
        <v>769.59813333333341</v>
      </c>
      <c r="BF15" s="71">
        <f t="shared" si="72"/>
        <v>2.7777777777777776E-2</v>
      </c>
      <c r="BG15" s="72">
        <f t="shared" si="77"/>
        <v>769.59813333333341</v>
      </c>
      <c r="BH15" s="71">
        <f t="shared" si="72"/>
        <v>2.7777777777777776E-2</v>
      </c>
      <c r="BI15" s="72">
        <f t="shared" si="78"/>
        <v>769.59813333333341</v>
      </c>
      <c r="BJ15" s="71">
        <f t="shared" si="72"/>
        <v>2.7777777777777776E-2</v>
      </c>
      <c r="BK15" s="72">
        <f t="shared" si="79"/>
        <v>769.59813333333341</v>
      </c>
      <c r="BL15" s="71">
        <f t="shared" si="72"/>
        <v>2.7777777777777776E-2</v>
      </c>
      <c r="BM15" s="72">
        <f t="shared" si="80"/>
        <v>769.59813333333341</v>
      </c>
      <c r="BN15" s="71">
        <f t="shared" si="72"/>
        <v>2.7777777777777776E-2</v>
      </c>
      <c r="BO15" s="72">
        <f t="shared" si="81"/>
        <v>769.59813333333341</v>
      </c>
      <c r="BP15" s="71">
        <f t="shared" si="72"/>
        <v>2.7777777777777776E-2</v>
      </c>
      <c r="BQ15" s="72">
        <f t="shared" si="82"/>
        <v>769.59813333333341</v>
      </c>
      <c r="BR15" s="71">
        <f t="shared" si="72"/>
        <v>2.7777777777777776E-2</v>
      </c>
      <c r="BS15" s="72">
        <f t="shared" si="83"/>
        <v>769.59813333333341</v>
      </c>
      <c r="BT15" s="71">
        <f t="shared" si="72"/>
        <v>2.7777777777777776E-2</v>
      </c>
      <c r="BU15" s="72">
        <f t="shared" si="84"/>
        <v>769.59813333333341</v>
      </c>
      <c r="BV15" s="71">
        <f t="shared" si="72"/>
        <v>2.7777777777777776E-2</v>
      </c>
      <c r="BW15" s="72">
        <f t="shared" si="85"/>
        <v>769.59813333333341</v>
      </c>
      <c r="BX15" s="71">
        <f t="shared" si="72"/>
        <v>2.7777777777777776E-2</v>
      </c>
      <c r="BY15" s="72">
        <f t="shared" si="86"/>
        <v>769.59813333333341</v>
      </c>
      <c r="BZ15" s="71">
        <f t="shared" si="72"/>
        <v>2.7777777777777776E-2</v>
      </c>
      <c r="CA15" s="72">
        <f t="shared" si="87"/>
        <v>769.59813333333341</v>
      </c>
      <c r="CB15" s="71">
        <f t="shared" si="72"/>
        <v>2.7777777777777776E-2</v>
      </c>
      <c r="CC15" s="72">
        <f t="shared" si="88"/>
        <v>769.59813333333341</v>
      </c>
      <c r="CD15" s="71">
        <f t="shared" si="72"/>
        <v>2.7777777777777776E-2</v>
      </c>
      <c r="CE15" s="72">
        <f t="shared" si="89"/>
        <v>769.59813333333341</v>
      </c>
      <c r="CF15" s="71">
        <f t="shared" si="72"/>
        <v>2.7777777777777776E-2</v>
      </c>
      <c r="CG15" s="72">
        <f t="shared" si="90"/>
        <v>769.59813333333341</v>
      </c>
    </row>
    <row r="16" spans="2:86" ht="30" x14ac:dyDescent="0.25">
      <c r="B16" s="24" t="s">
        <v>92</v>
      </c>
      <c r="C16" s="17" t="s">
        <v>15</v>
      </c>
      <c r="D16" s="18" t="s">
        <v>121</v>
      </c>
      <c r="E16" s="20" t="s">
        <v>122</v>
      </c>
      <c r="F16" s="17" t="s">
        <v>9</v>
      </c>
      <c r="G16" s="17">
        <f>32*2.4*(2000/32)*1.1</f>
        <v>5280</v>
      </c>
      <c r="H16" s="19">
        <v>83.51</v>
      </c>
      <c r="I16" s="19">
        <f t="shared" si="71"/>
        <v>100.50428500000001</v>
      </c>
      <c r="J16" s="17">
        <f>58.17+0.11</f>
        <v>58.28</v>
      </c>
      <c r="K16" s="22">
        <v>24.53</v>
      </c>
      <c r="L16" s="17">
        <f>'SEPULTURAS sem material'!J16</f>
        <v>530662.62480000011</v>
      </c>
      <c r="M16" s="16"/>
      <c r="N16" s="71">
        <f t="shared" si="72"/>
        <v>2.7777777777777776E-2</v>
      </c>
      <c r="O16" s="72">
        <f t="shared" si="69"/>
        <v>14740.628466666669</v>
      </c>
      <c r="P16" s="71">
        <f t="shared" si="72"/>
        <v>2.7777777777777776E-2</v>
      </c>
      <c r="Q16" s="72">
        <f t="shared" si="69"/>
        <v>14740.628466666669</v>
      </c>
      <c r="R16" s="71">
        <f t="shared" si="72"/>
        <v>2.7777777777777776E-2</v>
      </c>
      <c r="S16" s="72">
        <f t="shared" si="35"/>
        <v>14740.628466666669</v>
      </c>
      <c r="T16" s="71">
        <f t="shared" si="72"/>
        <v>2.7777777777777776E-2</v>
      </c>
      <c r="U16" s="72">
        <f t="shared" si="36"/>
        <v>14740.628466666669</v>
      </c>
      <c r="V16" s="71">
        <f t="shared" si="72"/>
        <v>2.7777777777777776E-2</v>
      </c>
      <c r="W16" s="72">
        <f t="shared" si="37"/>
        <v>14740.628466666669</v>
      </c>
      <c r="X16" s="71">
        <f t="shared" si="72"/>
        <v>2.7777777777777776E-2</v>
      </c>
      <c r="Y16" s="72">
        <f t="shared" si="38"/>
        <v>14740.628466666669</v>
      </c>
      <c r="Z16" s="71">
        <f t="shared" si="72"/>
        <v>2.7777777777777776E-2</v>
      </c>
      <c r="AA16" s="72">
        <f t="shared" si="39"/>
        <v>14740.628466666669</v>
      </c>
      <c r="AB16" s="71">
        <f t="shared" si="72"/>
        <v>2.7777777777777776E-2</v>
      </c>
      <c r="AC16" s="72">
        <f t="shared" si="40"/>
        <v>14740.628466666669</v>
      </c>
      <c r="AD16" s="71">
        <f t="shared" si="72"/>
        <v>2.7777777777777776E-2</v>
      </c>
      <c r="AE16" s="72">
        <f t="shared" si="41"/>
        <v>14740.628466666669</v>
      </c>
      <c r="AF16" s="71">
        <f t="shared" si="72"/>
        <v>2.7777777777777776E-2</v>
      </c>
      <c r="AG16" s="72">
        <f t="shared" si="42"/>
        <v>14740.628466666669</v>
      </c>
      <c r="AH16" s="71">
        <f t="shared" si="72"/>
        <v>2.7777777777777776E-2</v>
      </c>
      <c r="AI16" s="72">
        <f t="shared" si="43"/>
        <v>14740.628466666669</v>
      </c>
      <c r="AJ16" s="71">
        <f t="shared" si="72"/>
        <v>2.7777777777777776E-2</v>
      </c>
      <c r="AK16" s="72">
        <f t="shared" si="44"/>
        <v>14740.628466666669</v>
      </c>
      <c r="AL16" s="71">
        <f t="shared" si="72"/>
        <v>2.7777777777777776E-2</v>
      </c>
      <c r="AM16" s="72">
        <f t="shared" si="45"/>
        <v>14740.628466666669</v>
      </c>
      <c r="AN16" s="71">
        <f t="shared" si="72"/>
        <v>2.7777777777777776E-2</v>
      </c>
      <c r="AO16" s="72">
        <f t="shared" si="46"/>
        <v>14740.628466666669</v>
      </c>
      <c r="AP16" s="71">
        <f t="shared" si="72"/>
        <v>2.7777777777777776E-2</v>
      </c>
      <c r="AQ16" s="72">
        <f t="shared" si="47"/>
        <v>14740.628466666669</v>
      </c>
      <c r="AR16" s="71">
        <f t="shared" si="72"/>
        <v>2.7777777777777776E-2</v>
      </c>
      <c r="AS16" s="72">
        <f t="shared" si="48"/>
        <v>14740.628466666669</v>
      </c>
      <c r="AT16" s="71">
        <f t="shared" si="72"/>
        <v>2.7777777777777776E-2</v>
      </c>
      <c r="AU16" s="72">
        <f t="shared" si="49"/>
        <v>14740.628466666669</v>
      </c>
      <c r="AV16" s="71">
        <f t="shared" si="72"/>
        <v>2.7777777777777776E-2</v>
      </c>
      <c r="AW16" s="72">
        <f t="shared" si="50"/>
        <v>14740.628466666669</v>
      </c>
      <c r="AX16" s="71">
        <f t="shared" si="72"/>
        <v>2.7777777777777776E-2</v>
      </c>
      <c r="AY16" s="72">
        <f t="shared" si="73"/>
        <v>14740.628466666669</v>
      </c>
      <c r="AZ16" s="71">
        <f t="shared" si="72"/>
        <v>2.7777777777777776E-2</v>
      </c>
      <c r="BA16" s="72">
        <f t="shared" si="74"/>
        <v>14740.628466666669</v>
      </c>
      <c r="BB16" s="71">
        <f t="shared" si="72"/>
        <v>2.7777777777777776E-2</v>
      </c>
      <c r="BC16" s="72">
        <f t="shared" si="75"/>
        <v>14740.628466666669</v>
      </c>
      <c r="BD16" s="71">
        <f t="shared" si="72"/>
        <v>2.7777777777777776E-2</v>
      </c>
      <c r="BE16" s="72">
        <f t="shared" si="76"/>
        <v>14740.628466666669</v>
      </c>
      <c r="BF16" s="71">
        <f t="shared" si="72"/>
        <v>2.7777777777777776E-2</v>
      </c>
      <c r="BG16" s="72">
        <f t="shared" si="77"/>
        <v>14740.628466666669</v>
      </c>
      <c r="BH16" s="71">
        <f t="shared" si="72"/>
        <v>2.7777777777777776E-2</v>
      </c>
      <c r="BI16" s="72">
        <f t="shared" si="78"/>
        <v>14740.628466666669</v>
      </c>
      <c r="BJ16" s="71">
        <f t="shared" si="72"/>
        <v>2.7777777777777776E-2</v>
      </c>
      <c r="BK16" s="72">
        <f t="shared" si="79"/>
        <v>14740.628466666669</v>
      </c>
      <c r="BL16" s="71">
        <f t="shared" si="72"/>
        <v>2.7777777777777776E-2</v>
      </c>
      <c r="BM16" s="72">
        <f t="shared" si="80"/>
        <v>14740.628466666669</v>
      </c>
      <c r="BN16" s="71">
        <f t="shared" si="72"/>
        <v>2.7777777777777776E-2</v>
      </c>
      <c r="BO16" s="72">
        <f t="shared" si="81"/>
        <v>14740.628466666669</v>
      </c>
      <c r="BP16" s="71">
        <f t="shared" si="72"/>
        <v>2.7777777777777776E-2</v>
      </c>
      <c r="BQ16" s="72">
        <f t="shared" si="82"/>
        <v>14740.628466666669</v>
      </c>
      <c r="BR16" s="71">
        <f t="shared" si="72"/>
        <v>2.7777777777777776E-2</v>
      </c>
      <c r="BS16" s="72">
        <f t="shared" si="83"/>
        <v>14740.628466666669</v>
      </c>
      <c r="BT16" s="71">
        <f t="shared" si="72"/>
        <v>2.7777777777777776E-2</v>
      </c>
      <c r="BU16" s="72">
        <f t="shared" si="84"/>
        <v>14740.628466666669</v>
      </c>
      <c r="BV16" s="71">
        <f t="shared" si="72"/>
        <v>2.7777777777777776E-2</v>
      </c>
      <c r="BW16" s="72">
        <f t="shared" si="85"/>
        <v>14740.628466666669</v>
      </c>
      <c r="BX16" s="71">
        <f t="shared" si="72"/>
        <v>2.7777777777777776E-2</v>
      </c>
      <c r="BY16" s="72">
        <f t="shared" si="86"/>
        <v>14740.628466666669</v>
      </c>
      <c r="BZ16" s="71">
        <f t="shared" si="72"/>
        <v>2.7777777777777776E-2</v>
      </c>
      <c r="CA16" s="72">
        <f t="shared" si="87"/>
        <v>14740.628466666669</v>
      </c>
      <c r="CB16" s="71">
        <f t="shared" si="72"/>
        <v>2.7777777777777776E-2</v>
      </c>
      <c r="CC16" s="72">
        <f t="shared" si="88"/>
        <v>14740.628466666669</v>
      </c>
      <c r="CD16" s="71">
        <f t="shared" si="72"/>
        <v>2.7777777777777776E-2</v>
      </c>
      <c r="CE16" s="72">
        <f t="shared" si="89"/>
        <v>14740.628466666669</v>
      </c>
      <c r="CF16" s="71">
        <f t="shared" si="72"/>
        <v>2.7777777777777776E-2</v>
      </c>
      <c r="CG16" s="72">
        <f t="shared" si="90"/>
        <v>14740.628466666669</v>
      </c>
    </row>
    <row r="17" spans="2:85" x14ac:dyDescent="0.25">
      <c r="B17" s="24" t="s">
        <v>93</v>
      </c>
      <c r="C17" s="17" t="s">
        <v>135</v>
      </c>
      <c r="D17" s="18" t="s">
        <v>136</v>
      </c>
      <c r="E17" s="65" t="s">
        <v>147</v>
      </c>
      <c r="F17" s="17" t="s">
        <v>127</v>
      </c>
      <c r="G17" s="17">
        <v>2000</v>
      </c>
      <c r="H17" s="19">
        <f>936*1.15</f>
        <v>1076.3999999999999</v>
      </c>
      <c r="I17" s="19">
        <f t="shared" si="71"/>
        <v>1295.4473999999998</v>
      </c>
      <c r="J17" s="17"/>
      <c r="K17" s="22">
        <v>146.83000000000001</v>
      </c>
      <c r="L17" s="17">
        <f>'SEPULTURAS sem material'!J17</f>
        <v>2720439.5399999996</v>
      </c>
      <c r="N17" s="71">
        <f t="shared" si="72"/>
        <v>2.7777777777777776E-2</v>
      </c>
      <c r="O17" s="72">
        <f t="shared" si="69"/>
        <v>75567.764999999985</v>
      </c>
      <c r="P17" s="71">
        <f t="shared" si="72"/>
        <v>2.7777777777777776E-2</v>
      </c>
      <c r="Q17" s="72">
        <f t="shared" si="69"/>
        <v>75567.764999999985</v>
      </c>
      <c r="R17" s="71">
        <f t="shared" si="72"/>
        <v>2.7777777777777776E-2</v>
      </c>
      <c r="S17" s="72">
        <f t="shared" si="35"/>
        <v>75567.764999999985</v>
      </c>
      <c r="T17" s="71">
        <f t="shared" si="72"/>
        <v>2.7777777777777776E-2</v>
      </c>
      <c r="U17" s="72">
        <f t="shared" si="36"/>
        <v>75567.764999999985</v>
      </c>
      <c r="V17" s="71">
        <f t="shared" si="72"/>
        <v>2.7777777777777776E-2</v>
      </c>
      <c r="W17" s="72">
        <f t="shared" si="37"/>
        <v>75567.764999999985</v>
      </c>
      <c r="X17" s="71">
        <f t="shared" si="72"/>
        <v>2.7777777777777776E-2</v>
      </c>
      <c r="Y17" s="72">
        <f t="shared" si="38"/>
        <v>75567.764999999985</v>
      </c>
      <c r="Z17" s="71">
        <f t="shared" si="72"/>
        <v>2.7777777777777776E-2</v>
      </c>
      <c r="AA17" s="72">
        <f t="shared" si="39"/>
        <v>75567.764999999985</v>
      </c>
      <c r="AB17" s="71">
        <f t="shared" si="72"/>
        <v>2.7777777777777776E-2</v>
      </c>
      <c r="AC17" s="72">
        <f t="shared" si="40"/>
        <v>75567.764999999985</v>
      </c>
      <c r="AD17" s="71">
        <f t="shared" si="72"/>
        <v>2.7777777777777776E-2</v>
      </c>
      <c r="AE17" s="72">
        <f t="shared" si="41"/>
        <v>75567.764999999985</v>
      </c>
      <c r="AF17" s="71">
        <f t="shared" si="72"/>
        <v>2.7777777777777776E-2</v>
      </c>
      <c r="AG17" s="72">
        <f t="shared" si="42"/>
        <v>75567.764999999985</v>
      </c>
      <c r="AH17" s="71">
        <f t="shared" si="72"/>
        <v>2.7777777777777776E-2</v>
      </c>
      <c r="AI17" s="72">
        <f t="shared" si="43"/>
        <v>75567.764999999985</v>
      </c>
      <c r="AJ17" s="71">
        <f t="shared" si="72"/>
        <v>2.7777777777777776E-2</v>
      </c>
      <c r="AK17" s="72">
        <f t="shared" si="44"/>
        <v>75567.764999999985</v>
      </c>
      <c r="AL17" s="71">
        <f t="shared" si="72"/>
        <v>2.7777777777777776E-2</v>
      </c>
      <c r="AM17" s="72">
        <f t="shared" si="45"/>
        <v>75567.764999999985</v>
      </c>
      <c r="AN17" s="71">
        <f t="shared" si="72"/>
        <v>2.7777777777777776E-2</v>
      </c>
      <c r="AO17" s="72">
        <f t="shared" si="46"/>
        <v>75567.764999999985</v>
      </c>
      <c r="AP17" s="71">
        <f t="shared" si="72"/>
        <v>2.7777777777777776E-2</v>
      </c>
      <c r="AQ17" s="72">
        <f t="shared" si="47"/>
        <v>75567.764999999985</v>
      </c>
      <c r="AR17" s="71">
        <f t="shared" si="72"/>
        <v>2.7777777777777776E-2</v>
      </c>
      <c r="AS17" s="72">
        <f t="shared" si="48"/>
        <v>75567.764999999985</v>
      </c>
      <c r="AT17" s="71">
        <f t="shared" si="72"/>
        <v>2.7777777777777776E-2</v>
      </c>
      <c r="AU17" s="72">
        <f t="shared" si="49"/>
        <v>75567.764999999985</v>
      </c>
      <c r="AV17" s="71">
        <f t="shared" si="72"/>
        <v>2.7777777777777776E-2</v>
      </c>
      <c r="AW17" s="72">
        <f t="shared" si="50"/>
        <v>75567.764999999985</v>
      </c>
      <c r="AX17" s="71">
        <f t="shared" si="72"/>
        <v>2.7777777777777776E-2</v>
      </c>
      <c r="AY17" s="72">
        <f t="shared" si="73"/>
        <v>75567.764999999985</v>
      </c>
      <c r="AZ17" s="71">
        <f t="shared" si="72"/>
        <v>2.7777777777777776E-2</v>
      </c>
      <c r="BA17" s="72">
        <f t="shared" si="74"/>
        <v>75567.764999999985</v>
      </c>
      <c r="BB17" s="71">
        <f t="shared" si="72"/>
        <v>2.7777777777777776E-2</v>
      </c>
      <c r="BC17" s="72">
        <f t="shared" si="75"/>
        <v>75567.764999999985</v>
      </c>
      <c r="BD17" s="71">
        <f t="shared" si="72"/>
        <v>2.7777777777777776E-2</v>
      </c>
      <c r="BE17" s="72">
        <f t="shared" si="76"/>
        <v>75567.764999999985</v>
      </c>
      <c r="BF17" s="71">
        <f t="shared" si="72"/>
        <v>2.7777777777777776E-2</v>
      </c>
      <c r="BG17" s="72">
        <f t="shared" si="77"/>
        <v>75567.764999999985</v>
      </c>
      <c r="BH17" s="71">
        <f t="shared" si="72"/>
        <v>2.7777777777777776E-2</v>
      </c>
      <c r="BI17" s="72">
        <f t="shared" si="78"/>
        <v>75567.764999999985</v>
      </c>
      <c r="BJ17" s="71">
        <f t="shared" si="72"/>
        <v>2.7777777777777776E-2</v>
      </c>
      <c r="BK17" s="72">
        <f t="shared" si="79"/>
        <v>75567.764999999985</v>
      </c>
      <c r="BL17" s="71">
        <f t="shared" si="72"/>
        <v>2.7777777777777776E-2</v>
      </c>
      <c r="BM17" s="72">
        <f t="shared" si="80"/>
        <v>75567.764999999985</v>
      </c>
      <c r="BN17" s="71">
        <f t="shared" si="72"/>
        <v>2.7777777777777776E-2</v>
      </c>
      <c r="BO17" s="72">
        <f t="shared" si="81"/>
        <v>75567.764999999985</v>
      </c>
      <c r="BP17" s="71">
        <f t="shared" si="72"/>
        <v>2.7777777777777776E-2</v>
      </c>
      <c r="BQ17" s="72">
        <f t="shared" si="82"/>
        <v>75567.764999999985</v>
      </c>
      <c r="BR17" s="71">
        <f t="shared" si="72"/>
        <v>2.7777777777777776E-2</v>
      </c>
      <c r="BS17" s="72">
        <f t="shared" si="83"/>
        <v>75567.764999999985</v>
      </c>
      <c r="BT17" s="71">
        <f t="shared" si="72"/>
        <v>2.7777777777777776E-2</v>
      </c>
      <c r="BU17" s="72">
        <f t="shared" si="84"/>
        <v>75567.764999999985</v>
      </c>
      <c r="BV17" s="71">
        <f t="shared" si="72"/>
        <v>2.7777777777777776E-2</v>
      </c>
      <c r="BW17" s="72">
        <f t="shared" si="85"/>
        <v>75567.764999999985</v>
      </c>
      <c r="BX17" s="71">
        <f t="shared" si="72"/>
        <v>2.7777777777777776E-2</v>
      </c>
      <c r="BY17" s="72">
        <f t="shared" si="86"/>
        <v>75567.764999999985</v>
      </c>
      <c r="BZ17" s="71">
        <f t="shared" si="72"/>
        <v>2.7777777777777776E-2</v>
      </c>
      <c r="CA17" s="72">
        <f t="shared" si="87"/>
        <v>75567.764999999985</v>
      </c>
      <c r="CB17" s="71">
        <f t="shared" si="72"/>
        <v>2.7777777777777776E-2</v>
      </c>
      <c r="CC17" s="72">
        <f t="shared" si="88"/>
        <v>75567.764999999985</v>
      </c>
      <c r="CD17" s="71">
        <f t="shared" si="72"/>
        <v>2.7777777777777776E-2</v>
      </c>
      <c r="CE17" s="72">
        <f t="shared" si="89"/>
        <v>75567.764999999985</v>
      </c>
      <c r="CF17" s="71">
        <f t="shared" si="72"/>
        <v>2.7777777777777776E-2</v>
      </c>
      <c r="CG17" s="72">
        <f t="shared" si="90"/>
        <v>75567.764999999985</v>
      </c>
    </row>
    <row r="18" spans="2:85" x14ac:dyDescent="0.25">
      <c r="B18" s="24" t="s">
        <v>94</v>
      </c>
      <c r="C18" s="17" t="s">
        <v>15</v>
      </c>
      <c r="D18" s="18" t="s">
        <v>123</v>
      </c>
      <c r="E18" s="20" t="s">
        <v>124</v>
      </c>
      <c r="F18" s="17" t="s">
        <v>20</v>
      </c>
      <c r="G18" s="17">
        <f>(0.92*3)+(2.2*4)+(0.65*6)*2000*3*1.2</f>
        <v>28091.560000000005</v>
      </c>
      <c r="H18" s="19">
        <v>0.49</v>
      </c>
      <c r="I18" s="19">
        <f t="shared" si="71"/>
        <v>0.58971499999999999</v>
      </c>
      <c r="J18" s="17">
        <v>0.09</v>
      </c>
      <c r="K18" s="22">
        <v>0.39</v>
      </c>
      <c r="L18" s="17">
        <f>'SEPULTURAS sem material'!J18</f>
        <v>16566.014305400004</v>
      </c>
      <c r="N18" s="71">
        <f t="shared" si="72"/>
        <v>2.7777777777777776E-2</v>
      </c>
      <c r="O18" s="72">
        <f t="shared" si="69"/>
        <v>460.16706403888895</v>
      </c>
      <c r="P18" s="71">
        <f t="shared" si="72"/>
        <v>2.7777777777777776E-2</v>
      </c>
      <c r="Q18" s="72">
        <f t="shared" si="69"/>
        <v>460.16706403888895</v>
      </c>
      <c r="R18" s="71">
        <f t="shared" si="72"/>
        <v>2.7777777777777776E-2</v>
      </c>
      <c r="S18" s="72">
        <f t="shared" si="35"/>
        <v>460.16706403888895</v>
      </c>
      <c r="T18" s="71">
        <f t="shared" si="72"/>
        <v>2.7777777777777776E-2</v>
      </c>
      <c r="U18" s="72">
        <f t="shared" si="36"/>
        <v>460.16706403888895</v>
      </c>
      <c r="V18" s="71">
        <f t="shared" si="72"/>
        <v>2.7777777777777776E-2</v>
      </c>
      <c r="W18" s="72">
        <f t="shared" si="37"/>
        <v>460.16706403888895</v>
      </c>
      <c r="X18" s="71">
        <f t="shared" si="72"/>
        <v>2.7777777777777776E-2</v>
      </c>
      <c r="Y18" s="72">
        <f t="shared" si="38"/>
        <v>460.16706403888895</v>
      </c>
      <c r="Z18" s="71">
        <f t="shared" si="72"/>
        <v>2.7777777777777776E-2</v>
      </c>
      <c r="AA18" s="72">
        <f t="shared" si="39"/>
        <v>460.16706403888895</v>
      </c>
      <c r="AB18" s="71">
        <f t="shared" si="72"/>
        <v>2.7777777777777776E-2</v>
      </c>
      <c r="AC18" s="72">
        <f t="shared" si="40"/>
        <v>460.16706403888895</v>
      </c>
      <c r="AD18" s="71">
        <f t="shared" si="72"/>
        <v>2.7777777777777776E-2</v>
      </c>
      <c r="AE18" s="72">
        <f t="shared" si="41"/>
        <v>460.16706403888895</v>
      </c>
      <c r="AF18" s="71">
        <f t="shared" si="72"/>
        <v>2.7777777777777776E-2</v>
      </c>
      <c r="AG18" s="72">
        <f t="shared" si="42"/>
        <v>460.16706403888895</v>
      </c>
      <c r="AH18" s="71">
        <f t="shared" si="72"/>
        <v>2.7777777777777776E-2</v>
      </c>
      <c r="AI18" s="72">
        <f t="shared" si="43"/>
        <v>460.16706403888895</v>
      </c>
      <c r="AJ18" s="71">
        <f t="shared" si="72"/>
        <v>2.7777777777777776E-2</v>
      </c>
      <c r="AK18" s="72">
        <f t="shared" si="44"/>
        <v>460.16706403888895</v>
      </c>
      <c r="AL18" s="71">
        <f t="shared" si="72"/>
        <v>2.7777777777777776E-2</v>
      </c>
      <c r="AM18" s="72">
        <f t="shared" si="45"/>
        <v>460.16706403888895</v>
      </c>
      <c r="AN18" s="71">
        <f t="shared" si="72"/>
        <v>2.7777777777777776E-2</v>
      </c>
      <c r="AO18" s="72">
        <f t="shared" si="46"/>
        <v>460.16706403888895</v>
      </c>
      <c r="AP18" s="71">
        <f t="shared" si="72"/>
        <v>2.7777777777777776E-2</v>
      </c>
      <c r="AQ18" s="72">
        <f t="shared" si="47"/>
        <v>460.16706403888895</v>
      </c>
      <c r="AR18" s="71">
        <f t="shared" si="72"/>
        <v>2.7777777777777776E-2</v>
      </c>
      <c r="AS18" s="72">
        <f t="shared" si="48"/>
        <v>460.16706403888895</v>
      </c>
      <c r="AT18" s="71">
        <f t="shared" si="72"/>
        <v>2.7777777777777776E-2</v>
      </c>
      <c r="AU18" s="72">
        <f t="shared" si="49"/>
        <v>460.16706403888895</v>
      </c>
      <c r="AV18" s="71">
        <f t="shared" si="72"/>
        <v>2.7777777777777776E-2</v>
      </c>
      <c r="AW18" s="72">
        <f t="shared" si="50"/>
        <v>460.16706403888895</v>
      </c>
      <c r="AX18" s="71">
        <f t="shared" si="72"/>
        <v>2.7777777777777776E-2</v>
      </c>
      <c r="AY18" s="72">
        <f t="shared" si="73"/>
        <v>460.16706403888895</v>
      </c>
      <c r="AZ18" s="71">
        <f t="shared" si="72"/>
        <v>2.7777777777777776E-2</v>
      </c>
      <c r="BA18" s="72">
        <f t="shared" si="74"/>
        <v>460.16706403888895</v>
      </c>
      <c r="BB18" s="71">
        <f t="shared" si="72"/>
        <v>2.7777777777777776E-2</v>
      </c>
      <c r="BC18" s="72">
        <f t="shared" si="75"/>
        <v>460.16706403888895</v>
      </c>
      <c r="BD18" s="71">
        <f t="shared" si="72"/>
        <v>2.7777777777777776E-2</v>
      </c>
      <c r="BE18" s="72">
        <f t="shared" si="76"/>
        <v>460.16706403888895</v>
      </c>
      <c r="BF18" s="71">
        <f t="shared" si="72"/>
        <v>2.7777777777777776E-2</v>
      </c>
      <c r="BG18" s="72">
        <f t="shared" si="77"/>
        <v>460.16706403888895</v>
      </c>
      <c r="BH18" s="71">
        <f t="shared" si="72"/>
        <v>2.7777777777777776E-2</v>
      </c>
      <c r="BI18" s="72">
        <f t="shared" si="78"/>
        <v>460.16706403888895</v>
      </c>
      <c r="BJ18" s="71">
        <f t="shared" si="72"/>
        <v>2.7777777777777776E-2</v>
      </c>
      <c r="BK18" s="72">
        <f t="shared" si="79"/>
        <v>460.16706403888895</v>
      </c>
      <c r="BL18" s="71">
        <f t="shared" si="72"/>
        <v>2.7777777777777776E-2</v>
      </c>
      <c r="BM18" s="72">
        <f t="shared" si="80"/>
        <v>460.16706403888895</v>
      </c>
      <c r="BN18" s="71">
        <f t="shared" si="72"/>
        <v>2.7777777777777776E-2</v>
      </c>
      <c r="BO18" s="72">
        <f t="shared" si="81"/>
        <v>460.16706403888895</v>
      </c>
      <c r="BP18" s="71">
        <f t="shared" si="72"/>
        <v>2.7777777777777776E-2</v>
      </c>
      <c r="BQ18" s="72">
        <f t="shared" si="82"/>
        <v>460.16706403888895</v>
      </c>
      <c r="BR18" s="71">
        <f t="shared" si="72"/>
        <v>2.7777777777777776E-2</v>
      </c>
      <c r="BS18" s="72">
        <f t="shared" si="83"/>
        <v>460.16706403888895</v>
      </c>
      <c r="BT18" s="71">
        <f t="shared" si="72"/>
        <v>2.7777777777777776E-2</v>
      </c>
      <c r="BU18" s="72">
        <f t="shared" si="84"/>
        <v>460.16706403888895</v>
      </c>
      <c r="BV18" s="71">
        <f t="shared" si="72"/>
        <v>2.7777777777777776E-2</v>
      </c>
      <c r="BW18" s="72">
        <f t="shared" si="85"/>
        <v>460.16706403888895</v>
      </c>
      <c r="BX18" s="71">
        <f t="shared" si="72"/>
        <v>2.7777777777777776E-2</v>
      </c>
      <c r="BY18" s="72">
        <f t="shared" si="86"/>
        <v>460.16706403888895</v>
      </c>
      <c r="BZ18" s="71">
        <f t="shared" si="72"/>
        <v>2.7777777777777776E-2</v>
      </c>
      <c r="CA18" s="72">
        <f t="shared" si="87"/>
        <v>460.16706403888895</v>
      </c>
      <c r="CB18" s="71">
        <f t="shared" si="72"/>
        <v>2.7777777777777776E-2</v>
      </c>
      <c r="CC18" s="72">
        <f t="shared" si="88"/>
        <v>460.16706403888895</v>
      </c>
      <c r="CD18" s="71">
        <f t="shared" si="72"/>
        <v>2.7777777777777776E-2</v>
      </c>
      <c r="CE18" s="72">
        <f t="shared" si="89"/>
        <v>460.16706403888895</v>
      </c>
      <c r="CF18" s="71">
        <f t="shared" si="72"/>
        <v>2.7777777777777776E-2</v>
      </c>
      <c r="CG18" s="72">
        <f t="shared" si="90"/>
        <v>460.16706403888895</v>
      </c>
    </row>
    <row r="19" spans="2:85" ht="45" x14ac:dyDescent="0.25">
      <c r="B19" s="24" t="s">
        <v>95</v>
      </c>
      <c r="C19" s="17" t="s">
        <v>15</v>
      </c>
      <c r="D19" s="18" t="s">
        <v>125</v>
      </c>
      <c r="E19" s="20" t="s">
        <v>126</v>
      </c>
      <c r="F19" s="17" t="s">
        <v>10</v>
      </c>
      <c r="G19" s="17">
        <f>0.2*G9</f>
        <v>2745.6000000000004</v>
      </c>
      <c r="H19" s="19">
        <v>22.28</v>
      </c>
      <c r="I19" s="19">
        <f t="shared" si="71"/>
        <v>26.813980000000001</v>
      </c>
      <c r="J19" s="17">
        <f>6.13+8.13</f>
        <v>14.260000000000002</v>
      </c>
      <c r="K19" s="22">
        <v>7.19</v>
      </c>
      <c r="L19" s="17">
        <f>'SEPULTURAS sem material'!J19</f>
        <v>73620.463488000009</v>
      </c>
      <c r="N19" s="71">
        <f t="shared" si="72"/>
        <v>2.7777777777777776E-2</v>
      </c>
      <c r="O19" s="72">
        <f t="shared" si="69"/>
        <v>2045.0128746666669</v>
      </c>
      <c r="P19" s="71">
        <f t="shared" si="72"/>
        <v>2.7777777777777776E-2</v>
      </c>
      <c r="Q19" s="72">
        <f t="shared" si="69"/>
        <v>2045.0128746666669</v>
      </c>
      <c r="R19" s="71">
        <f t="shared" si="72"/>
        <v>2.7777777777777776E-2</v>
      </c>
      <c r="S19" s="72">
        <f t="shared" si="35"/>
        <v>2045.0128746666669</v>
      </c>
      <c r="T19" s="71">
        <f t="shared" si="72"/>
        <v>2.7777777777777776E-2</v>
      </c>
      <c r="U19" s="72">
        <f t="shared" si="36"/>
        <v>2045.0128746666669</v>
      </c>
      <c r="V19" s="71">
        <f t="shared" si="72"/>
        <v>2.7777777777777776E-2</v>
      </c>
      <c r="W19" s="72">
        <f t="shared" si="37"/>
        <v>2045.0128746666669</v>
      </c>
      <c r="X19" s="71">
        <f t="shared" si="72"/>
        <v>2.7777777777777776E-2</v>
      </c>
      <c r="Y19" s="72">
        <f t="shared" si="38"/>
        <v>2045.0128746666669</v>
      </c>
      <c r="Z19" s="71">
        <f t="shared" si="72"/>
        <v>2.7777777777777776E-2</v>
      </c>
      <c r="AA19" s="72">
        <f t="shared" si="39"/>
        <v>2045.0128746666669</v>
      </c>
      <c r="AB19" s="71">
        <f t="shared" si="72"/>
        <v>2.7777777777777776E-2</v>
      </c>
      <c r="AC19" s="72">
        <f t="shared" si="40"/>
        <v>2045.0128746666669</v>
      </c>
      <c r="AD19" s="71">
        <f t="shared" si="72"/>
        <v>2.7777777777777776E-2</v>
      </c>
      <c r="AE19" s="72">
        <f t="shared" si="41"/>
        <v>2045.0128746666669</v>
      </c>
      <c r="AF19" s="71">
        <f t="shared" si="72"/>
        <v>2.7777777777777776E-2</v>
      </c>
      <c r="AG19" s="72">
        <f t="shared" si="42"/>
        <v>2045.0128746666669</v>
      </c>
      <c r="AH19" s="71">
        <f t="shared" si="72"/>
        <v>2.7777777777777776E-2</v>
      </c>
      <c r="AI19" s="72">
        <f t="shared" si="43"/>
        <v>2045.0128746666669</v>
      </c>
      <c r="AJ19" s="71">
        <f t="shared" si="72"/>
        <v>2.7777777777777776E-2</v>
      </c>
      <c r="AK19" s="72">
        <f t="shared" si="44"/>
        <v>2045.0128746666669</v>
      </c>
      <c r="AL19" s="71">
        <f t="shared" si="72"/>
        <v>2.7777777777777776E-2</v>
      </c>
      <c r="AM19" s="72">
        <f t="shared" si="45"/>
        <v>2045.0128746666669</v>
      </c>
      <c r="AN19" s="71">
        <f t="shared" si="72"/>
        <v>2.7777777777777776E-2</v>
      </c>
      <c r="AO19" s="72">
        <f t="shared" si="46"/>
        <v>2045.0128746666669</v>
      </c>
      <c r="AP19" s="71">
        <f t="shared" si="72"/>
        <v>2.7777777777777776E-2</v>
      </c>
      <c r="AQ19" s="72">
        <f t="shared" si="47"/>
        <v>2045.0128746666669</v>
      </c>
      <c r="AR19" s="71">
        <f t="shared" si="72"/>
        <v>2.7777777777777776E-2</v>
      </c>
      <c r="AS19" s="72">
        <f t="shared" si="48"/>
        <v>2045.0128746666669</v>
      </c>
      <c r="AT19" s="71">
        <f t="shared" si="72"/>
        <v>2.7777777777777776E-2</v>
      </c>
      <c r="AU19" s="72">
        <f t="shared" si="49"/>
        <v>2045.0128746666669</v>
      </c>
      <c r="AV19" s="71">
        <f t="shared" si="72"/>
        <v>2.7777777777777776E-2</v>
      </c>
      <c r="AW19" s="72">
        <f t="shared" si="50"/>
        <v>2045.0128746666669</v>
      </c>
      <c r="AX19" s="71">
        <f t="shared" si="72"/>
        <v>2.7777777777777776E-2</v>
      </c>
      <c r="AY19" s="72">
        <f t="shared" si="73"/>
        <v>2045.0128746666669</v>
      </c>
      <c r="AZ19" s="71">
        <f t="shared" si="72"/>
        <v>2.7777777777777776E-2</v>
      </c>
      <c r="BA19" s="72">
        <f t="shared" si="74"/>
        <v>2045.0128746666669</v>
      </c>
      <c r="BB19" s="71">
        <f t="shared" si="72"/>
        <v>2.7777777777777776E-2</v>
      </c>
      <c r="BC19" s="72">
        <f t="shared" si="75"/>
        <v>2045.0128746666669</v>
      </c>
      <c r="BD19" s="71">
        <f t="shared" si="72"/>
        <v>2.7777777777777776E-2</v>
      </c>
      <c r="BE19" s="72">
        <f t="shared" si="76"/>
        <v>2045.0128746666669</v>
      </c>
      <c r="BF19" s="71">
        <f t="shared" si="72"/>
        <v>2.7777777777777776E-2</v>
      </c>
      <c r="BG19" s="72">
        <f t="shared" si="77"/>
        <v>2045.0128746666669</v>
      </c>
      <c r="BH19" s="71">
        <f t="shared" si="72"/>
        <v>2.7777777777777776E-2</v>
      </c>
      <c r="BI19" s="72">
        <f t="shared" si="78"/>
        <v>2045.0128746666669</v>
      </c>
      <c r="BJ19" s="71">
        <f t="shared" si="72"/>
        <v>2.7777777777777776E-2</v>
      </c>
      <c r="BK19" s="72">
        <f t="shared" si="79"/>
        <v>2045.0128746666669</v>
      </c>
      <c r="BL19" s="71">
        <f t="shared" si="72"/>
        <v>2.7777777777777776E-2</v>
      </c>
      <c r="BM19" s="72">
        <f t="shared" si="80"/>
        <v>2045.0128746666669</v>
      </c>
      <c r="BN19" s="71">
        <f t="shared" si="72"/>
        <v>2.7777777777777776E-2</v>
      </c>
      <c r="BO19" s="72">
        <f t="shared" si="81"/>
        <v>2045.0128746666669</v>
      </c>
      <c r="BP19" s="71">
        <f t="shared" si="72"/>
        <v>2.7777777777777776E-2</v>
      </c>
      <c r="BQ19" s="72">
        <f t="shared" si="82"/>
        <v>2045.0128746666669</v>
      </c>
      <c r="BR19" s="71">
        <f t="shared" si="72"/>
        <v>2.7777777777777776E-2</v>
      </c>
      <c r="BS19" s="72">
        <f t="shared" si="83"/>
        <v>2045.0128746666669</v>
      </c>
      <c r="BT19" s="71">
        <f t="shared" si="72"/>
        <v>2.7777777777777776E-2</v>
      </c>
      <c r="BU19" s="72">
        <f t="shared" si="84"/>
        <v>2045.0128746666669</v>
      </c>
      <c r="BV19" s="71">
        <f t="shared" si="72"/>
        <v>2.7777777777777776E-2</v>
      </c>
      <c r="BW19" s="72">
        <f t="shared" si="85"/>
        <v>2045.0128746666669</v>
      </c>
      <c r="BX19" s="71">
        <f t="shared" si="72"/>
        <v>2.7777777777777776E-2</v>
      </c>
      <c r="BY19" s="72">
        <f t="shared" si="86"/>
        <v>2045.0128746666669</v>
      </c>
      <c r="BZ19" s="71">
        <f t="shared" si="72"/>
        <v>2.7777777777777776E-2</v>
      </c>
      <c r="CA19" s="72">
        <f t="shared" si="87"/>
        <v>2045.0128746666669</v>
      </c>
      <c r="CB19" s="71">
        <f t="shared" si="72"/>
        <v>2.7777777777777776E-2</v>
      </c>
      <c r="CC19" s="72">
        <f t="shared" si="88"/>
        <v>2045.0128746666669</v>
      </c>
      <c r="CD19" s="71">
        <f t="shared" si="72"/>
        <v>2.7777777777777776E-2</v>
      </c>
      <c r="CE19" s="72">
        <f t="shared" si="89"/>
        <v>2045.0128746666669</v>
      </c>
      <c r="CF19" s="71">
        <f t="shared" si="72"/>
        <v>2.7777777777777776E-2</v>
      </c>
      <c r="CG19" s="72">
        <f t="shared" si="90"/>
        <v>2045.0128746666669</v>
      </c>
    </row>
    <row r="20" spans="2:85" x14ac:dyDescent="0.25">
      <c r="B20" s="93" t="s">
        <v>188</v>
      </c>
      <c r="C20" s="94"/>
      <c r="D20" s="94"/>
      <c r="E20" s="95"/>
      <c r="F20" s="29"/>
      <c r="G20" s="29"/>
      <c r="H20" s="30"/>
      <c r="I20" s="30"/>
      <c r="J20" s="29"/>
      <c r="K20" s="31"/>
      <c r="L20" s="29">
        <f>SUM(L21:L21)</f>
        <v>176109.84952800005</v>
      </c>
    </row>
    <row r="21" spans="2:85" x14ac:dyDescent="0.25">
      <c r="B21" s="25" t="s">
        <v>96</v>
      </c>
      <c r="C21" s="17" t="s">
        <v>15</v>
      </c>
      <c r="D21" s="18">
        <v>103946</v>
      </c>
      <c r="E21" s="20" t="s">
        <v>145</v>
      </c>
      <c r="F21" s="17" t="s">
        <v>9</v>
      </c>
      <c r="G21" s="17">
        <f>((32+32+2.4+2.4)*1.5)*62</f>
        <v>6398.4000000000015</v>
      </c>
      <c r="H21" s="19">
        <v>22.87</v>
      </c>
      <c r="I21" s="19">
        <f>H21*(1+$L$5)</f>
        <v>27.524045000000001</v>
      </c>
      <c r="J21" s="17"/>
      <c r="K21" s="22">
        <v>13.14</v>
      </c>
      <c r="L21" s="17">
        <f>'SEPULTURAS sem material'!J21</f>
        <v>176109.84952800005</v>
      </c>
      <c r="N21" s="71">
        <f t="shared" ref="N21:CF21" si="91">100%/36</f>
        <v>2.7777777777777776E-2</v>
      </c>
      <c r="O21" s="72">
        <f t="shared" si="69"/>
        <v>4891.9402646666676</v>
      </c>
      <c r="P21" s="71">
        <f t="shared" si="91"/>
        <v>2.7777777777777776E-2</v>
      </c>
      <c r="Q21" s="72">
        <f t="shared" si="69"/>
        <v>4891.9402646666676</v>
      </c>
      <c r="R21" s="71">
        <f t="shared" si="91"/>
        <v>2.7777777777777776E-2</v>
      </c>
      <c r="S21" s="72">
        <f t="shared" si="35"/>
        <v>4891.9402646666676</v>
      </c>
      <c r="T21" s="71">
        <f t="shared" si="91"/>
        <v>2.7777777777777776E-2</v>
      </c>
      <c r="U21" s="72">
        <f t="shared" si="36"/>
        <v>4891.9402646666676</v>
      </c>
      <c r="V21" s="71">
        <f t="shared" si="91"/>
        <v>2.7777777777777776E-2</v>
      </c>
      <c r="W21" s="72">
        <f t="shared" si="37"/>
        <v>4891.9402646666676</v>
      </c>
      <c r="X21" s="71">
        <f t="shared" si="91"/>
        <v>2.7777777777777776E-2</v>
      </c>
      <c r="Y21" s="72">
        <f t="shared" si="38"/>
        <v>4891.9402646666676</v>
      </c>
      <c r="Z21" s="71">
        <f t="shared" si="91"/>
        <v>2.7777777777777776E-2</v>
      </c>
      <c r="AA21" s="72">
        <f t="shared" si="39"/>
        <v>4891.9402646666676</v>
      </c>
      <c r="AB21" s="71">
        <f t="shared" si="91"/>
        <v>2.7777777777777776E-2</v>
      </c>
      <c r="AC21" s="72">
        <f t="shared" si="40"/>
        <v>4891.9402646666676</v>
      </c>
      <c r="AD21" s="71">
        <f t="shared" si="91"/>
        <v>2.7777777777777776E-2</v>
      </c>
      <c r="AE21" s="72">
        <f t="shared" si="41"/>
        <v>4891.9402646666676</v>
      </c>
      <c r="AF21" s="71">
        <f t="shared" si="91"/>
        <v>2.7777777777777776E-2</v>
      </c>
      <c r="AG21" s="72">
        <f t="shared" si="42"/>
        <v>4891.9402646666676</v>
      </c>
      <c r="AH21" s="71">
        <f t="shared" si="91"/>
        <v>2.7777777777777776E-2</v>
      </c>
      <c r="AI21" s="72">
        <f t="shared" si="43"/>
        <v>4891.9402646666676</v>
      </c>
      <c r="AJ21" s="71">
        <f t="shared" si="91"/>
        <v>2.7777777777777776E-2</v>
      </c>
      <c r="AK21" s="72">
        <f t="shared" si="44"/>
        <v>4891.9402646666676</v>
      </c>
      <c r="AL21" s="71">
        <f t="shared" si="91"/>
        <v>2.7777777777777776E-2</v>
      </c>
      <c r="AM21" s="72">
        <f t="shared" si="45"/>
        <v>4891.9402646666676</v>
      </c>
      <c r="AN21" s="71">
        <f t="shared" si="91"/>
        <v>2.7777777777777776E-2</v>
      </c>
      <c r="AO21" s="72">
        <f t="shared" si="46"/>
        <v>4891.9402646666676</v>
      </c>
      <c r="AP21" s="71">
        <f t="shared" si="91"/>
        <v>2.7777777777777776E-2</v>
      </c>
      <c r="AQ21" s="72">
        <f t="shared" si="47"/>
        <v>4891.9402646666676</v>
      </c>
      <c r="AR21" s="71">
        <f t="shared" si="91"/>
        <v>2.7777777777777776E-2</v>
      </c>
      <c r="AS21" s="72">
        <f t="shared" si="48"/>
        <v>4891.9402646666676</v>
      </c>
      <c r="AT21" s="71">
        <f t="shared" si="91"/>
        <v>2.7777777777777776E-2</v>
      </c>
      <c r="AU21" s="72">
        <f t="shared" si="49"/>
        <v>4891.9402646666676</v>
      </c>
      <c r="AV21" s="71">
        <f t="shared" si="91"/>
        <v>2.7777777777777776E-2</v>
      </c>
      <c r="AW21" s="72">
        <f t="shared" si="50"/>
        <v>4891.9402646666676</v>
      </c>
      <c r="AX21" s="71">
        <f t="shared" si="91"/>
        <v>2.7777777777777776E-2</v>
      </c>
      <c r="AY21" s="72">
        <f t="shared" ref="AY21" si="92">$L21*AX21</f>
        <v>4891.9402646666676</v>
      </c>
      <c r="AZ21" s="71">
        <f t="shared" si="91"/>
        <v>2.7777777777777776E-2</v>
      </c>
      <c r="BA21" s="72">
        <f t="shared" ref="BA21" si="93">$L21*AZ21</f>
        <v>4891.9402646666676</v>
      </c>
      <c r="BB21" s="71">
        <f t="shared" si="91"/>
        <v>2.7777777777777776E-2</v>
      </c>
      <c r="BC21" s="72">
        <f t="shared" ref="BC21" si="94">$L21*BB21</f>
        <v>4891.9402646666676</v>
      </c>
      <c r="BD21" s="71">
        <f t="shared" si="91"/>
        <v>2.7777777777777776E-2</v>
      </c>
      <c r="BE21" s="72">
        <f t="shared" ref="BE21" si="95">$L21*BD21</f>
        <v>4891.9402646666676</v>
      </c>
      <c r="BF21" s="71">
        <f t="shared" si="91"/>
        <v>2.7777777777777776E-2</v>
      </c>
      <c r="BG21" s="72">
        <f t="shared" ref="BG21" si="96">$L21*BF21</f>
        <v>4891.9402646666676</v>
      </c>
      <c r="BH21" s="71">
        <f t="shared" si="91"/>
        <v>2.7777777777777776E-2</v>
      </c>
      <c r="BI21" s="72">
        <f t="shared" ref="BI21" si="97">$L21*BH21</f>
        <v>4891.9402646666676</v>
      </c>
      <c r="BJ21" s="71">
        <f t="shared" si="91"/>
        <v>2.7777777777777776E-2</v>
      </c>
      <c r="BK21" s="72">
        <f t="shared" ref="BK21" si="98">$L21*BJ21</f>
        <v>4891.9402646666676</v>
      </c>
      <c r="BL21" s="71">
        <f t="shared" si="91"/>
        <v>2.7777777777777776E-2</v>
      </c>
      <c r="BM21" s="72">
        <f t="shared" ref="BM21" si="99">$L21*BL21</f>
        <v>4891.9402646666676</v>
      </c>
      <c r="BN21" s="71">
        <f t="shared" si="91"/>
        <v>2.7777777777777776E-2</v>
      </c>
      <c r="BO21" s="72">
        <f t="shared" ref="BO21" si="100">$L21*BN21</f>
        <v>4891.9402646666676</v>
      </c>
      <c r="BP21" s="71">
        <f t="shared" si="91"/>
        <v>2.7777777777777776E-2</v>
      </c>
      <c r="BQ21" s="72">
        <f t="shared" ref="BQ21" si="101">$L21*BP21</f>
        <v>4891.9402646666676</v>
      </c>
      <c r="BR21" s="71">
        <f t="shared" si="91"/>
        <v>2.7777777777777776E-2</v>
      </c>
      <c r="BS21" s="72">
        <f t="shared" ref="BS21" si="102">$L21*BR21</f>
        <v>4891.9402646666676</v>
      </c>
      <c r="BT21" s="71">
        <f t="shared" si="91"/>
        <v>2.7777777777777776E-2</v>
      </c>
      <c r="BU21" s="72">
        <f t="shared" ref="BU21" si="103">$L21*BT21</f>
        <v>4891.9402646666676</v>
      </c>
      <c r="BV21" s="71">
        <f t="shared" si="91"/>
        <v>2.7777777777777776E-2</v>
      </c>
      <c r="BW21" s="72">
        <f t="shared" ref="BW21" si="104">$L21*BV21</f>
        <v>4891.9402646666676</v>
      </c>
      <c r="BX21" s="71">
        <f t="shared" si="91"/>
        <v>2.7777777777777776E-2</v>
      </c>
      <c r="BY21" s="72">
        <f t="shared" ref="BY21" si="105">$L21*BX21</f>
        <v>4891.9402646666676</v>
      </c>
      <c r="BZ21" s="71">
        <f t="shared" si="91"/>
        <v>2.7777777777777776E-2</v>
      </c>
      <c r="CA21" s="72">
        <f t="shared" ref="CA21" si="106">$L21*BZ21</f>
        <v>4891.9402646666676</v>
      </c>
      <c r="CB21" s="71">
        <f t="shared" si="91"/>
        <v>2.7777777777777776E-2</v>
      </c>
      <c r="CC21" s="72">
        <f t="shared" ref="CC21" si="107">$L21*CB21</f>
        <v>4891.9402646666676</v>
      </c>
      <c r="CD21" s="71">
        <f t="shared" si="91"/>
        <v>2.7777777777777776E-2</v>
      </c>
      <c r="CE21" s="72">
        <f t="shared" ref="CE21" si="108">$L21*CD21</f>
        <v>4891.9402646666676</v>
      </c>
      <c r="CF21" s="71">
        <f t="shared" si="91"/>
        <v>2.7777777777777776E-2</v>
      </c>
      <c r="CG21" s="72">
        <f t="shared" ref="CG21" si="109">$L21*CF21</f>
        <v>4891.9402646666676</v>
      </c>
    </row>
    <row r="22" spans="2:85" x14ac:dyDescent="0.25">
      <c r="B22" s="93" t="s">
        <v>189</v>
      </c>
      <c r="C22" s="94"/>
      <c r="D22" s="94"/>
      <c r="E22" s="95"/>
      <c r="F22" s="29"/>
      <c r="G22" s="29"/>
      <c r="H22" s="30"/>
      <c r="I22" s="30"/>
      <c r="J22" s="29"/>
      <c r="K22" s="31"/>
      <c r="L22" s="29">
        <f>SUM(L23:L23)</f>
        <v>91885.780800000008</v>
      </c>
      <c r="N22" s="71"/>
      <c r="O22" s="72"/>
      <c r="P22" s="71"/>
      <c r="Q22" s="72"/>
      <c r="R22" s="71"/>
      <c r="S22" s="72"/>
      <c r="T22" s="71"/>
      <c r="U22" s="72"/>
      <c r="V22" s="71"/>
      <c r="W22" s="72"/>
      <c r="X22" s="71"/>
      <c r="Y22" s="72"/>
      <c r="Z22" s="71"/>
      <c r="AA22" s="72"/>
      <c r="AB22" s="71"/>
      <c r="AC22" s="72"/>
      <c r="AD22" s="71"/>
      <c r="AE22" s="72"/>
      <c r="AF22" s="71"/>
      <c r="AG22" s="72"/>
      <c r="AH22" s="71"/>
      <c r="AI22" s="72"/>
      <c r="AJ22" s="71"/>
      <c r="AK22" s="72"/>
      <c r="AL22" s="71"/>
      <c r="AM22" s="72"/>
      <c r="AN22" s="71"/>
      <c r="AO22" s="72"/>
      <c r="AP22" s="71"/>
      <c r="AQ22" s="72"/>
      <c r="AR22" s="71"/>
      <c r="AS22" s="72"/>
      <c r="AT22" s="71"/>
      <c r="AU22" s="72"/>
      <c r="AV22" s="71"/>
      <c r="AW22" s="72"/>
      <c r="AX22" s="71"/>
      <c r="AY22" s="72"/>
      <c r="AZ22" s="71"/>
      <c r="BA22" s="72"/>
      <c r="BB22" s="71"/>
      <c r="BC22" s="72"/>
      <c r="BD22" s="71"/>
      <c r="BE22" s="72"/>
      <c r="BF22" s="71"/>
      <c r="BG22" s="72"/>
      <c r="BH22" s="71"/>
      <c r="BI22" s="72"/>
      <c r="BJ22" s="71"/>
      <c r="BK22" s="72"/>
      <c r="BL22" s="71"/>
      <c r="BM22" s="72"/>
      <c r="BN22" s="71"/>
      <c r="BO22" s="72"/>
      <c r="BP22" s="71"/>
      <c r="BQ22" s="72"/>
      <c r="BR22" s="71"/>
      <c r="BS22" s="72"/>
      <c r="BT22" s="71"/>
      <c r="BU22" s="72"/>
      <c r="BV22" s="71"/>
      <c r="BW22" s="72"/>
      <c r="BX22" s="71"/>
      <c r="BY22" s="72"/>
      <c r="BZ22" s="71"/>
      <c r="CA22" s="72"/>
      <c r="CB22" s="71"/>
      <c r="CC22" s="72"/>
      <c r="CD22" s="71"/>
      <c r="CE22" s="72"/>
      <c r="CF22" s="71"/>
      <c r="CG22" s="72"/>
    </row>
    <row r="23" spans="2:85" x14ac:dyDescent="0.25">
      <c r="B23" s="25" t="s">
        <v>98</v>
      </c>
      <c r="C23" s="17" t="s">
        <v>17</v>
      </c>
      <c r="D23" s="18" t="s">
        <v>66</v>
      </c>
      <c r="E23" s="20" t="s">
        <v>67</v>
      </c>
      <c r="F23" s="17" t="s">
        <v>9</v>
      </c>
      <c r="G23" s="17">
        <f>G16</f>
        <v>5280</v>
      </c>
      <c r="H23" s="19">
        <v>14.46</v>
      </c>
      <c r="I23" s="19">
        <f>H23*(1+$L$5)</f>
        <v>17.402610000000003</v>
      </c>
      <c r="J23" s="17"/>
      <c r="K23" s="22">
        <v>13.14</v>
      </c>
      <c r="L23" s="17">
        <f>'SEPULTURAS sem material'!J23</f>
        <v>91885.780800000008</v>
      </c>
      <c r="N23" s="71">
        <f t="shared" ref="N23:CF23" si="110">100%/36</f>
        <v>2.7777777777777776E-2</v>
      </c>
      <c r="O23" s="72">
        <f t="shared" si="69"/>
        <v>2552.3827999999999</v>
      </c>
      <c r="P23" s="71">
        <f t="shared" si="110"/>
        <v>2.7777777777777776E-2</v>
      </c>
      <c r="Q23" s="72">
        <f t="shared" ref="Q23" si="111">$L23*P23</f>
        <v>2552.3827999999999</v>
      </c>
      <c r="R23" s="71">
        <f t="shared" si="110"/>
        <v>2.7777777777777776E-2</v>
      </c>
      <c r="S23" s="72">
        <f t="shared" ref="S23" si="112">$L23*R23</f>
        <v>2552.3827999999999</v>
      </c>
      <c r="T23" s="71">
        <f t="shared" si="110"/>
        <v>2.7777777777777776E-2</v>
      </c>
      <c r="U23" s="72">
        <f t="shared" ref="U23" si="113">$L23*T23</f>
        <v>2552.3827999999999</v>
      </c>
      <c r="V23" s="71">
        <f t="shared" si="110"/>
        <v>2.7777777777777776E-2</v>
      </c>
      <c r="W23" s="72">
        <f t="shared" ref="W23" si="114">$L23*V23</f>
        <v>2552.3827999999999</v>
      </c>
      <c r="X23" s="71">
        <f t="shared" si="110"/>
        <v>2.7777777777777776E-2</v>
      </c>
      <c r="Y23" s="72">
        <f t="shared" ref="Y23" si="115">$L23*X23</f>
        <v>2552.3827999999999</v>
      </c>
      <c r="Z23" s="71">
        <f t="shared" si="110"/>
        <v>2.7777777777777776E-2</v>
      </c>
      <c r="AA23" s="72">
        <f t="shared" ref="AA23" si="116">$L23*Z23</f>
        <v>2552.3827999999999</v>
      </c>
      <c r="AB23" s="71">
        <f t="shared" si="110"/>
        <v>2.7777777777777776E-2</v>
      </c>
      <c r="AC23" s="72">
        <f t="shared" ref="AC23" si="117">$L23*AB23</f>
        <v>2552.3827999999999</v>
      </c>
      <c r="AD23" s="71">
        <f t="shared" si="110"/>
        <v>2.7777777777777776E-2</v>
      </c>
      <c r="AE23" s="72">
        <f t="shared" ref="AE23" si="118">$L23*AD23</f>
        <v>2552.3827999999999</v>
      </c>
      <c r="AF23" s="71">
        <f t="shared" si="110"/>
        <v>2.7777777777777776E-2</v>
      </c>
      <c r="AG23" s="72">
        <f t="shared" ref="AG23" si="119">$L23*AF23</f>
        <v>2552.3827999999999</v>
      </c>
      <c r="AH23" s="71">
        <f t="shared" si="110"/>
        <v>2.7777777777777776E-2</v>
      </c>
      <c r="AI23" s="72">
        <f t="shared" ref="AI23" si="120">$L23*AH23</f>
        <v>2552.3827999999999</v>
      </c>
      <c r="AJ23" s="71">
        <f t="shared" si="110"/>
        <v>2.7777777777777776E-2</v>
      </c>
      <c r="AK23" s="72">
        <f t="shared" ref="AK23" si="121">$L23*AJ23</f>
        <v>2552.3827999999999</v>
      </c>
      <c r="AL23" s="71">
        <f t="shared" si="110"/>
        <v>2.7777777777777776E-2</v>
      </c>
      <c r="AM23" s="72">
        <f t="shared" ref="AM23" si="122">$L23*AL23</f>
        <v>2552.3827999999999</v>
      </c>
      <c r="AN23" s="71">
        <f t="shared" si="110"/>
        <v>2.7777777777777776E-2</v>
      </c>
      <c r="AO23" s="72">
        <f t="shared" ref="AO23" si="123">$L23*AN23</f>
        <v>2552.3827999999999</v>
      </c>
      <c r="AP23" s="71">
        <f t="shared" si="110"/>
        <v>2.7777777777777776E-2</v>
      </c>
      <c r="AQ23" s="72">
        <f t="shared" ref="AQ23" si="124">$L23*AP23</f>
        <v>2552.3827999999999</v>
      </c>
      <c r="AR23" s="71">
        <f t="shared" si="110"/>
        <v>2.7777777777777776E-2</v>
      </c>
      <c r="AS23" s="72">
        <f t="shared" ref="AS23" si="125">$L23*AR23</f>
        <v>2552.3827999999999</v>
      </c>
      <c r="AT23" s="71">
        <f t="shared" si="110"/>
        <v>2.7777777777777776E-2</v>
      </c>
      <c r="AU23" s="72">
        <f t="shared" ref="AU23" si="126">$L23*AT23</f>
        <v>2552.3827999999999</v>
      </c>
      <c r="AV23" s="71">
        <f t="shared" si="110"/>
        <v>2.7777777777777776E-2</v>
      </c>
      <c r="AW23" s="72">
        <f t="shared" ref="AW23" si="127">$L23*AV23</f>
        <v>2552.3827999999999</v>
      </c>
      <c r="AX23" s="71">
        <f t="shared" si="110"/>
        <v>2.7777777777777776E-2</v>
      </c>
      <c r="AY23" s="72">
        <f t="shared" ref="AY23" si="128">$L23*AX23</f>
        <v>2552.3827999999999</v>
      </c>
      <c r="AZ23" s="71">
        <f t="shared" si="110"/>
        <v>2.7777777777777776E-2</v>
      </c>
      <c r="BA23" s="72">
        <f t="shared" ref="BA23" si="129">$L23*AZ23</f>
        <v>2552.3827999999999</v>
      </c>
      <c r="BB23" s="71">
        <f t="shared" si="110"/>
        <v>2.7777777777777776E-2</v>
      </c>
      <c r="BC23" s="72">
        <f t="shared" ref="BC23" si="130">$L23*BB23</f>
        <v>2552.3827999999999</v>
      </c>
      <c r="BD23" s="71">
        <f t="shared" si="110"/>
        <v>2.7777777777777776E-2</v>
      </c>
      <c r="BE23" s="72">
        <f t="shared" ref="BE23" si="131">$L23*BD23</f>
        <v>2552.3827999999999</v>
      </c>
      <c r="BF23" s="71">
        <f t="shared" si="110"/>
        <v>2.7777777777777776E-2</v>
      </c>
      <c r="BG23" s="72">
        <f t="shared" ref="BG23" si="132">$L23*BF23</f>
        <v>2552.3827999999999</v>
      </c>
      <c r="BH23" s="71">
        <f t="shared" si="110"/>
        <v>2.7777777777777776E-2</v>
      </c>
      <c r="BI23" s="72">
        <f t="shared" ref="BI23" si="133">$L23*BH23</f>
        <v>2552.3827999999999</v>
      </c>
      <c r="BJ23" s="71">
        <f t="shared" si="110"/>
        <v>2.7777777777777776E-2</v>
      </c>
      <c r="BK23" s="72">
        <f t="shared" ref="BK23" si="134">$L23*BJ23</f>
        <v>2552.3827999999999</v>
      </c>
      <c r="BL23" s="71">
        <f t="shared" si="110"/>
        <v>2.7777777777777776E-2</v>
      </c>
      <c r="BM23" s="72">
        <f t="shared" ref="BM23" si="135">$L23*BL23</f>
        <v>2552.3827999999999</v>
      </c>
      <c r="BN23" s="71">
        <f t="shared" si="110"/>
        <v>2.7777777777777776E-2</v>
      </c>
      <c r="BO23" s="72">
        <f t="shared" ref="BO23" si="136">$L23*BN23</f>
        <v>2552.3827999999999</v>
      </c>
      <c r="BP23" s="71">
        <f t="shared" si="110"/>
        <v>2.7777777777777776E-2</v>
      </c>
      <c r="BQ23" s="72">
        <f t="shared" ref="BQ23" si="137">$L23*BP23</f>
        <v>2552.3827999999999</v>
      </c>
      <c r="BR23" s="71">
        <f t="shared" si="110"/>
        <v>2.7777777777777776E-2</v>
      </c>
      <c r="BS23" s="72">
        <f t="shared" ref="BS23" si="138">$L23*BR23</f>
        <v>2552.3827999999999</v>
      </c>
      <c r="BT23" s="71">
        <f t="shared" si="110"/>
        <v>2.7777777777777776E-2</v>
      </c>
      <c r="BU23" s="72">
        <f t="shared" ref="BU23" si="139">$L23*BT23</f>
        <v>2552.3827999999999</v>
      </c>
      <c r="BV23" s="71">
        <f t="shared" si="110"/>
        <v>2.7777777777777776E-2</v>
      </c>
      <c r="BW23" s="72">
        <f t="shared" ref="BW23" si="140">$L23*BV23</f>
        <v>2552.3827999999999</v>
      </c>
      <c r="BX23" s="71">
        <f t="shared" si="110"/>
        <v>2.7777777777777776E-2</v>
      </c>
      <c r="BY23" s="72">
        <f t="shared" ref="BY23" si="141">$L23*BX23</f>
        <v>2552.3827999999999</v>
      </c>
      <c r="BZ23" s="71">
        <f t="shared" si="110"/>
        <v>2.7777777777777776E-2</v>
      </c>
      <c r="CA23" s="72">
        <f t="shared" ref="CA23" si="142">$L23*BZ23</f>
        <v>2552.3827999999999</v>
      </c>
      <c r="CB23" s="71">
        <f t="shared" si="110"/>
        <v>2.7777777777777776E-2</v>
      </c>
      <c r="CC23" s="72">
        <f t="shared" ref="CC23" si="143">$L23*CB23</f>
        <v>2552.3827999999999</v>
      </c>
      <c r="CD23" s="71">
        <f t="shared" si="110"/>
        <v>2.7777777777777776E-2</v>
      </c>
      <c r="CE23" s="72">
        <f t="shared" ref="CE23" si="144">$L23*CD23</f>
        <v>2552.3827999999999</v>
      </c>
      <c r="CF23" s="71">
        <f t="shared" si="110"/>
        <v>2.7777777777777776E-2</v>
      </c>
      <c r="CG23" s="72">
        <f t="shared" ref="CG23" si="145">$L23*CF23</f>
        <v>2552.3827999999999</v>
      </c>
    </row>
    <row r="24" spans="2:85" x14ac:dyDescent="0.25">
      <c r="B24" s="93" t="s">
        <v>190</v>
      </c>
      <c r="C24" s="94"/>
      <c r="D24" s="94"/>
      <c r="E24" s="94"/>
      <c r="F24" s="26"/>
      <c r="G24" s="26"/>
      <c r="H24" s="26"/>
      <c r="I24" s="26"/>
      <c r="J24" s="26"/>
      <c r="K24" s="26"/>
      <c r="L24" s="27">
        <f>SUM(L25:L27)</f>
        <v>879194.05850000004</v>
      </c>
      <c r="N24" s="71"/>
      <c r="O24" s="72"/>
      <c r="P24" s="71"/>
      <c r="Q24" s="72"/>
      <c r="R24" s="71"/>
      <c r="S24" s="72"/>
      <c r="T24" s="71"/>
      <c r="U24" s="72"/>
      <c r="V24" s="71"/>
      <c r="W24" s="72"/>
      <c r="X24" s="71"/>
      <c r="Y24" s="72"/>
      <c r="Z24" s="71"/>
      <c r="AA24" s="72"/>
      <c r="AB24" s="71"/>
      <c r="AC24" s="72"/>
      <c r="AD24" s="71"/>
      <c r="AE24" s="72"/>
      <c r="AF24" s="71"/>
      <c r="AG24" s="72"/>
      <c r="AH24" s="71"/>
      <c r="AI24" s="72"/>
      <c r="AJ24" s="71"/>
      <c r="AK24" s="72"/>
      <c r="AL24" s="71"/>
      <c r="AM24" s="72"/>
      <c r="AN24" s="71"/>
      <c r="AO24" s="72"/>
      <c r="AP24" s="71"/>
      <c r="AQ24" s="72"/>
      <c r="AR24" s="71"/>
      <c r="AS24" s="72"/>
      <c r="AT24" s="71"/>
      <c r="AU24" s="72"/>
      <c r="AV24" s="71"/>
      <c r="AW24" s="72"/>
      <c r="AX24" s="71"/>
      <c r="AY24" s="72"/>
      <c r="AZ24" s="71"/>
      <c r="BA24" s="72"/>
      <c r="BB24" s="71"/>
      <c r="BC24" s="72"/>
      <c r="BD24" s="71"/>
      <c r="BE24" s="72"/>
      <c r="BF24" s="71"/>
      <c r="BG24" s="72"/>
      <c r="BH24" s="71"/>
      <c r="BI24" s="72"/>
      <c r="BJ24" s="71"/>
      <c r="BK24" s="72"/>
      <c r="BL24" s="71"/>
      <c r="BM24" s="72"/>
      <c r="BN24" s="71"/>
      <c r="BO24" s="72"/>
      <c r="BP24" s="71"/>
      <c r="BQ24" s="72"/>
      <c r="BR24" s="71"/>
      <c r="BS24" s="72"/>
      <c r="BT24" s="71"/>
      <c r="BU24" s="72"/>
      <c r="BV24" s="71"/>
      <c r="BW24" s="72"/>
      <c r="BX24" s="71"/>
      <c r="BY24" s="72"/>
      <c r="BZ24" s="71"/>
      <c r="CA24" s="72"/>
      <c r="CB24" s="71"/>
      <c r="CC24" s="72"/>
      <c r="CD24" s="71"/>
      <c r="CE24" s="72"/>
      <c r="CF24" s="71"/>
      <c r="CG24" s="72"/>
    </row>
    <row r="25" spans="2:85" x14ac:dyDescent="0.25">
      <c r="B25" s="25" t="s">
        <v>99</v>
      </c>
      <c r="C25" s="1" t="s">
        <v>17</v>
      </c>
      <c r="D25" s="10" t="s">
        <v>159</v>
      </c>
      <c r="E25" s="14" t="s">
        <v>63</v>
      </c>
      <c r="F25" s="1" t="s">
        <v>26</v>
      </c>
      <c r="G25" s="1">
        <v>1900</v>
      </c>
      <c r="H25" s="19">
        <v>179.29</v>
      </c>
      <c r="I25" s="19">
        <f>H25*(1+$L$5)</f>
        <v>215.77551499999998</v>
      </c>
      <c r="J25" s="1"/>
      <c r="K25" s="1">
        <v>162.16999999999999</v>
      </c>
      <c r="L25" s="17">
        <f>'SEPULTURAS sem material'!J25</f>
        <v>409973.47849999997</v>
      </c>
      <c r="N25" s="71">
        <f t="shared" ref="N25:CF27" si="146">100%/36</f>
        <v>2.7777777777777776E-2</v>
      </c>
      <c r="O25" s="72">
        <f t="shared" si="69"/>
        <v>11388.152180555555</v>
      </c>
      <c r="P25" s="71">
        <f t="shared" si="146"/>
        <v>2.7777777777777776E-2</v>
      </c>
      <c r="Q25" s="72">
        <f t="shared" si="69"/>
        <v>11388.152180555555</v>
      </c>
      <c r="R25" s="71">
        <f t="shared" si="146"/>
        <v>2.7777777777777776E-2</v>
      </c>
      <c r="S25" s="72">
        <f t="shared" si="35"/>
        <v>11388.152180555555</v>
      </c>
      <c r="T25" s="71">
        <f t="shared" si="146"/>
        <v>2.7777777777777776E-2</v>
      </c>
      <c r="U25" s="72">
        <f t="shared" si="36"/>
        <v>11388.152180555555</v>
      </c>
      <c r="V25" s="71">
        <f t="shared" si="146"/>
        <v>2.7777777777777776E-2</v>
      </c>
      <c r="W25" s="72">
        <f t="shared" si="37"/>
        <v>11388.152180555555</v>
      </c>
      <c r="X25" s="71">
        <f t="shared" si="146"/>
        <v>2.7777777777777776E-2</v>
      </c>
      <c r="Y25" s="72">
        <f t="shared" si="38"/>
        <v>11388.152180555555</v>
      </c>
      <c r="Z25" s="71">
        <f t="shared" si="146"/>
        <v>2.7777777777777776E-2</v>
      </c>
      <c r="AA25" s="72">
        <f t="shared" si="39"/>
        <v>11388.152180555555</v>
      </c>
      <c r="AB25" s="71">
        <f t="shared" si="146"/>
        <v>2.7777777777777776E-2</v>
      </c>
      <c r="AC25" s="72">
        <f t="shared" si="40"/>
        <v>11388.152180555555</v>
      </c>
      <c r="AD25" s="71">
        <f t="shared" si="146"/>
        <v>2.7777777777777776E-2</v>
      </c>
      <c r="AE25" s="72">
        <f t="shared" si="41"/>
        <v>11388.152180555555</v>
      </c>
      <c r="AF25" s="71">
        <f t="shared" si="146"/>
        <v>2.7777777777777776E-2</v>
      </c>
      <c r="AG25" s="72">
        <f t="shared" si="42"/>
        <v>11388.152180555555</v>
      </c>
      <c r="AH25" s="71">
        <f t="shared" si="146"/>
        <v>2.7777777777777776E-2</v>
      </c>
      <c r="AI25" s="72">
        <f t="shared" si="43"/>
        <v>11388.152180555555</v>
      </c>
      <c r="AJ25" s="71">
        <f t="shared" si="146"/>
        <v>2.7777777777777776E-2</v>
      </c>
      <c r="AK25" s="72">
        <f t="shared" si="44"/>
        <v>11388.152180555555</v>
      </c>
      <c r="AL25" s="71">
        <f t="shared" si="146"/>
        <v>2.7777777777777776E-2</v>
      </c>
      <c r="AM25" s="72">
        <f t="shared" si="45"/>
        <v>11388.152180555555</v>
      </c>
      <c r="AN25" s="71">
        <f t="shared" si="146"/>
        <v>2.7777777777777776E-2</v>
      </c>
      <c r="AO25" s="72">
        <f t="shared" si="46"/>
        <v>11388.152180555555</v>
      </c>
      <c r="AP25" s="71">
        <f t="shared" si="146"/>
        <v>2.7777777777777776E-2</v>
      </c>
      <c r="AQ25" s="72">
        <f t="shared" si="47"/>
        <v>11388.152180555555</v>
      </c>
      <c r="AR25" s="71">
        <f t="shared" si="146"/>
        <v>2.7777777777777776E-2</v>
      </c>
      <c r="AS25" s="72">
        <f t="shared" si="48"/>
        <v>11388.152180555555</v>
      </c>
      <c r="AT25" s="71">
        <f t="shared" si="146"/>
        <v>2.7777777777777776E-2</v>
      </c>
      <c r="AU25" s="72">
        <f t="shared" si="49"/>
        <v>11388.152180555555</v>
      </c>
      <c r="AV25" s="71">
        <f t="shared" si="146"/>
        <v>2.7777777777777776E-2</v>
      </c>
      <c r="AW25" s="72">
        <f t="shared" si="50"/>
        <v>11388.152180555555</v>
      </c>
      <c r="AX25" s="71">
        <f t="shared" si="146"/>
        <v>2.7777777777777776E-2</v>
      </c>
      <c r="AY25" s="72">
        <f t="shared" ref="AY25:AY28" si="147">$L25*AX25</f>
        <v>11388.152180555555</v>
      </c>
      <c r="AZ25" s="71">
        <f t="shared" si="146"/>
        <v>2.7777777777777776E-2</v>
      </c>
      <c r="BA25" s="72">
        <f t="shared" ref="BA25:BA28" si="148">$L25*AZ25</f>
        <v>11388.152180555555</v>
      </c>
      <c r="BB25" s="71">
        <f t="shared" si="146"/>
        <v>2.7777777777777776E-2</v>
      </c>
      <c r="BC25" s="72">
        <f t="shared" ref="BC25:BC28" si="149">$L25*BB25</f>
        <v>11388.152180555555</v>
      </c>
      <c r="BD25" s="71">
        <f t="shared" si="146"/>
        <v>2.7777777777777776E-2</v>
      </c>
      <c r="BE25" s="72">
        <f t="shared" ref="BE25:BE28" si="150">$L25*BD25</f>
        <v>11388.152180555555</v>
      </c>
      <c r="BF25" s="71">
        <f t="shared" si="146"/>
        <v>2.7777777777777776E-2</v>
      </c>
      <c r="BG25" s="72">
        <f t="shared" ref="BG25:BG28" si="151">$L25*BF25</f>
        <v>11388.152180555555</v>
      </c>
      <c r="BH25" s="71">
        <f t="shared" si="146"/>
        <v>2.7777777777777776E-2</v>
      </c>
      <c r="BI25" s="72">
        <f t="shared" ref="BI25:BI28" si="152">$L25*BH25</f>
        <v>11388.152180555555</v>
      </c>
      <c r="BJ25" s="71">
        <f t="shared" si="146"/>
        <v>2.7777777777777776E-2</v>
      </c>
      <c r="BK25" s="72">
        <f t="shared" ref="BK25:BK28" si="153">$L25*BJ25</f>
        <v>11388.152180555555</v>
      </c>
      <c r="BL25" s="71">
        <f t="shared" si="146"/>
        <v>2.7777777777777776E-2</v>
      </c>
      <c r="BM25" s="72">
        <f t="shared" ref="BM25:BM28" si="154">$L25*BL25</f>
        <v>11388.152180555555</v>
      </c>
      <c r="BN25" s="71">
        <f t="shared" si="146"/>
        <v>2.7777777777777776E-2</v>
      </c>
      <c r="BO25" s="72">
        <f t="shared" ref="BO25:BO28" si="155">$L25*BN25</f>
        <v>11388.152180555555</v>
      </c>
      <c r="BP25" s="71">
        <f t="shared" si="146"/>
        <v>2.7777777777777776E-2</v>
      </c>
      <c r="BQ25" s="72">
        <f t="shared" ref="BQ25:BQ28" si="156">$L25*BP25</f>
        <v>11388.152180555555</v>
      </c>
      <c r="BR25" s="71">
        <f t="shared" si="146"/>
        <v>2.7777777777777776E-2</v>
      </c>
      <c r="BS25" s="72">
        <f t="shared" ref="BS25:BS28" si="157">$L25*BR25</f>
        <v>11388.152180555555</v>
      </c>
      <c r="BT25" s="71">
        <f t="shared" si="146"/>
        <v>2.7777777777777776E-2</v>
      </c>
      <c r="BU25" s="72">
        <f t="shared" ref="BU25:BU28" si="158">$L25*BT25</f>
        <v>11388.152180555555</v>
      </c>
      <c r="BV25" s="71">
        <f t="shared" si="146"/>
        <v>2.7777777777777776E-2</v>
      </c>
      <c r="BW25" s="72">
        <f t="shared" ref="BW25:BW28" si="159">$L25*BV25</f>
        <v>11388.152180555555</v>
      </c>
      <c r="BX25" s="71">
        <f t="shared" si="146"/>
        <v>2.7777777777777776E-2</v>
      </c>
      <c r="BY25" s="72">
        <f t="shared" ref="BY25:BY28" si="160">$L25*BX25</f>
        <v>11388.152180555555</v>
      </c>
      <c r="BZ25" s="71">
        <f t="shared" si="146"/>
        <v>2.7777777777777776E-2</v>
      </c>
      <c r="CA25" s="72">
        <f t="shared" ref="CA25:CA28" si="161">$L25*BZ25</f>
        <v>11388.152180555555</v>
      </c>
      <c r="CB25" s="71">
        <f t="shared" si="146"/>
        <v>2.7777777777777776E-2</v>
      </c>
      <c r="CC25" s="72">
        <f t="shared" ref="CC25:CC28" si="162">$L25*CB25</f>
        <v>11388.152180555555</v>
      </c>
      <c r="CD25" s="71">
        <f t="shared" si="146"/>
        <v>2.7777777777777776E-2</v>
      </c>
      <c r="CE25" s="72">
        <f t="shared" ref="CE25:CE28" si="163">$L25*CD25</f>
        <v>11388.152180555555</v>
      </c>
      <c r="CF25" s="71">
        <f t="shared" si="146"/>
        <v>2.7777777777777776E-2</v>
      </c>
      <c r="CG25" s="72">
        <f t="shared" ref="CG25:CG28" si="164">$L25*CF25</f>
        <v>11388.152180555555</v>
      </c>
    </row>
    <row r="26" spans="2:85" x14ac:dyDescent="0.25">
      <c r="B26" s="25" t="s">
        <v>191</v>
      </c>
      <c r="C26" s="1" t="s">
        <v>17</v>
      </c>
      <c r="D26" s="10" t="s">
        <v>160</v>
      </c>
      <c r="E26" s="14" t="s">
        <v>64</v>
      </c>
      <c r="F26" s="1" t="s">
        <v>26</v>
      </c>
      <c r="G26" s="1">
        <v>5840</v>
      </c>
      <c r="H26" s="19">
        <v>70.5</v>
      </c>
      <c r="I26" s="19">
        <f>H26*(1+$L$5)</f>
        <v>84.84675</v>
      </c>
      <c r="J26" s="1"/>
      <c r="K26" s="1">
        <v>71.67</v>
      </c>
      <c r="L26" s="17">
        <f>'SEPULTURAS sem material'!J26</f>
        <v>254540.25</v>
      </c>
      <c r="M26" s="16"/>
      <c r="N26" s="71">
        <f t="shared" si="146"/>
        <v>2.7777777777777776E-2</v>
      </c>
      <c r="O26" s="72">
        <f t="shared" si="69"/>
        <v>7070.5625</v>
      </c>
      <c r="P26" s="71">
        <f t="shared" si="146"/>
        <v>2.7777777777777776E-2</v>
      </c>
      <c r="Q26" s="72">
        <f t="shared" si="69"/>
        <v>7070.5625</v>
      </c>
      <c r="R26" s="71">
        <f t="shared" si="146"/>
        <v>2.7777777777777776E-2</v>
      </c>
      <c r="S26" s="72">
        <f t="shared" si="35"/>
        <v>7070.5625</v>
      </c>
      <c r="T26" s="71">
        <f t="shared" si="146"/>
        <v>2.7777777777777776E-2</v>
      </c>
      <c r="U26" s="72">
        <f t="shared" si="36"/>
        <v>7070.5625</v>
      </c>
      <c r="V26" s="71">
        <f t="shared" si="146"/>
        <v>2.7777777777777776E-2</v>
      </c>
      <c r="W26" s="72">
        <f t="shared" si="37"/>
        <v>7070.5625</v>
      </c>
      <c r="X26" s="71">
        <f t="shared" si="146"/>
        <v>2.7777777777777776E-2</v>
      </c>
      <c r="Y26" s="72">
        <f t="shared" si="38"/>
        <v>7070.5625</v>
      </c>
      <c r="Z26" s="71">
        <f t="shared" si="146"/>
        <v>2.7777777777777776E-2</v>
      </c>
      <c r="AA26" s="72">
        <f t="shared" si="39"/>
        <v>7070.5625</v>
      </c>
      <c r="AB26" s="71">
        <f t="shared" si="146"/>
        <v>2.7777777777777776E-2</v>
      </c>
      <c r="AC26" s="72">
        <f t="shared" si="40"/>
        <v>7070.5625</v>
      </c>
      <c r="AD26" s="71">
        <f t="shared" si="146"/>
        <v>2.7777777777777776E-2</v>
      </c>
      <c r="AE26" s="72">
        <f t="shared" si="41"/>
        <v>7070.5625</v>
      </c>
      <c r="AF26" s="71">
        <f t="shared" si="146"/>
        <v>2.7777777777777776E-2</v>
      </c>
      <c r="AG26" s="72">
        <f t="shared" si="42"/>
        <v>7070.5625</v>
      </c>
      <c r="AH26" s="71">
        <f t="shared" si="146"/>
        <v>2.7777777777777776E-2</v>
      </c>
      <c r="AI26" s="72">
        <f t="shared" si="43"/>
        <v>7070.5625</v>
      </c>
      <c r="AJ26" s="71">
        <f t="shared" si="146"/>
        <v>2.7777777777777776E-2</v>
      </c>
      <c r="AK26" s="72">
        <f t="shared" si="44"/>
        <v>7070.5625</v>
      </c>
      <c r="AL26" s="71">
        <f t="shared" si="146"/>
        <v>2.7777777777777776E-2</v>
      </c>
      <c r="AM26" s="72">
        <f t="shared" si="45"/>
        <v>7070.5625</v>
      </c>
      <c r="AN26" s="71">
        <f t="shared" si="146"/>
        <v>2.7777777777777776E-2</v>
      </c>
      <c r="AO26" s="72">
        <f t="shared" si="46"/>
        <v>7070.5625</v>
      </c>
      <c r="AP26" s="71">
        <f t="shared" si="146"/>
        <v>2.7777777777777776E-2</v>
      </c>
      <c r="AQ26" s="72">
        <f t="shared" si="47"/>
        <v>7070.5625</v>
      </c>
      <c r="AR26" s="71">
        <f t="shared" si="146"/>
        <v>2.7777777777777776E-2</v>
      </c>
      <c r="AS26" s="72">
        <f t="shared" si="48"/>
        <v>7070.5625</v>
      </c>
      <c r="AT26" s="71">
        <f t="shared" si="146"/>
        <v>2.7777777777777776E-2</v>
      </c>
      <c r="AU26" s="72">
        <f t="shared" si="49"/>
        <v>7070.5625</v>
      </c>
      <c r="AV26" s="71">
        <f t="shared" si="146"/>
        <v>2.7777777777777776E-2</v>
      </c>
      <c r="AW26" s="72">
        <f t="shared" si="50"/>
        <v>7070.5625</v>
      </c>
      <c r="AX26" s="71">
        <f t="shared" si="146"/>
        <v>2.7777777777777776E-2</v>
      </c>
      <c r="AY26" s="72">
        <f t="shared" si="147"/>
        <v>7070.5625</v>
      </c>
      <c r="AZ26" s="71">
        <f t="shared" si="146"/>
        <v>2.7777777777777776E-2</v>
      </c>
      <c r="BA26" s="72">
        <f t="shared" si="148"/>
        <v>7070.5625</v>
      </c>
      <c r="BB26" s="71">
        <f t="shared" si="146"/>
        <v>2.7777777777777776E-2</v>
      </c>
      <c r="BC26" s="72">
        <f t="shared" si="149"/>
        <v>7070.5625</v>
      </c>
      <c r="BD26" s="71">
        <f t="shared" si="146"/>
        <v>2.7777777777777776E-2</v>
      </c>
      <c r="BE26" s="72">
        <f t="shared" si="150"/>
        <v>7070.5625</v>
      </c>
      <c r="BF26" s="71">
        <f t="shared" si="146"/>
        <v>2.7777777777777776E-2</v>
      </c>
      <c r="BG26" s="72">
        <f t="shared" si="151"/>
        <v>7070.5625</v>
      </c>
      <c r="BH26" s="71">
        <f t="shared" si="146"/>
        <v>2.7777777777777776E-2</v>
      </c>
      <c r="BI26" s="72">
        <f t="shared" si="152"/>
        <v>7070.5625</v>
      </c>
      <c r="BJ26" s="71">
        <f t="shared" si="146"/>
        <v>2.7777777777777776E-2</v>
      </c>
      <c r="BK26" s="72">
        <f t="shared" si="153"/>
        <v>7070.5625</v>
      </c>
      <c r="BL26" s="71">
        <f t="shared" si="146"/>
        <v>2.7777777777777776E-2</v>
      </c>
      <c r="BM26" s="72">
        <f t="shared" si="154"/>
        <v>7070.5625</v>
      </c>
      <c r="BN26" s="71">
        <f t="shared" si="146"/>
        <v>2.7777777777777776E-2</v>
      </c>
      <c r="BO26" s="72">
        <f t="shared" si="155"/>
        <v>7070.5625</v>
      </c>
      <c r="BP26" s="71">
        <f t="shared" si="146"/>
        <v>2.7777777777777776E-2</v>
      </c>
      <c r="BQ26" s="72">
        <f t="shared" si="156"/>
        <v>7070.5625</v>
      </c>
      <c r="BR26" s="71">
        <f t="shared" si="146"/>
        <v>2.7777777777777776E-2</v>
      </c>
      <c r="BS26" s="72">
        <f t="shared" si="157"/>
        <v>7070.5625</v>
      </c>
      <c r="BT26" s="71">
        <f t="shared" si="146"/>
        <v>2.7777777777777776E-2</v>
      </c>
      <c r="BU26" s="72">
        <f t="shared" si="158"/>
        <v>7070.5625</v>
      </c>
      <c r="BV26" s="71">
        <f t="shared" si="146"/>
        <v>2.7777777777777776E-2</v>
      </c>
      <c r="BW26" s="72">
        <f t="shared" si="159"/>
        <v>7070.5625</v>
      </c>
      <c r="BX26" s="71">
        <f t="shared" si="146"/>
        <v>2.7777777777777776E-2</v>
      </c>
      <c r="BY26" s="72">
        <f t="shared" si="160"/>
        <v>7070.5625</v>
      </c>
      <c r="BZ26" s="71">
        <f t="shared" si="146"/>
        <v>2.7777777777777776E-2</v>
      </c>
      <c r="CA26" s="72">
        <f t="shared" si="161"/>
        <v>7070.5625</v>
      </c>
      <c r="CB26" s="71">
        <f t="shared" si="146"/>
        <v>2.7777777777777776E-2</v>
      </c>
      <c r="CC26" s="72">
        <f t="shared" si="162"/>
        <v>7070.5625</v>
      </c>
      <c r="CD26" s="71">
        <f t="shared" si="146"/>
        <v>2.7777777777777776E-2</v>
      </c>
      <c r="CE26" s="72">
        <f t="shared" si="163"/>
        <v>7070.5625</v>
      </c>
      <c r="CF26" s="71">
        <f t="shared" si="146"/>
        <v>2.7777777777777776E-2</v>
      </c>
      <c r="CG26" s="72">
        <f t="shared" si="164"/>
        <v>7070.5625</v>
      </c>
    </row>
    <row r="27" spans="2:85" x14ac:dyDescent="0.25">
      <c r="B27" s="25" t="s">
        <v>192</v>
      </c>
      <c r="C27" s="1" t="s">
        <v>17</v>
      </c>
      <c r="D27" s="10" t="s">
        <v>161</v>
      </c>
      <c r="E27" s="14" t="s">
        <v>65</v>
      </c>
      <c r="F27" s="1" t="s">
        <v>26</v>
      </c>
      <c r="G27" s="1">
        <v>5840</v>
      </c>
      <c r="H27" s="19">
        <v>59.46</v>
      </c>
      <c r="I27" s="19">
        <f>H27*(1+$L$5)</f>
        <v>71.560110000000009</v>
      </c>
      <c r="J27" s="1"/>
      <c r="K27" s="1">
        <v>59.45</v>
      </c>
      <c r="L27" s="17">
        <f>'SEPULTURAS sem material'!J27</f>
        <v>214680.33000000002</v>
      </c>
      <c r="M27" s="16"/>
      <c r="N27" s="71">
        <f t="shared" si="146"/>
        <v>2.7777777777777776E-2</v>
      </c>
      <c r="O27" s="72">
        <f t="shared" si="69"/>
        <v>5963.3424999999997</v>
      </c>
      <c r="P27" s="71">
        <f t="shared" si="146"/>
        <v>2.7777777777777776E-2</v>
      </c>
      <c r="Q27" s="72">
        <f t="shared" si="69"/>
        <v>5963.3424999999997</v>
      </c>
      <c r="R27" s="71">
        <f t="shared" si="146"/>
        <v>2.7777777777777776E-2</v>
      </c>
      <c r="S27" s="72">
        <f t="shared" si="35"/>
        <v>5963.3424999999997</v>
      </c>
      <c r="T27" s="71">
        <f t="shared" si="146"/>
        <v>2.7777777777777776E-2</v>
      </c>
      <c r="U27" s="72">
        <f t="shared" si="36"/>
        <v>5963.3424999999997</v>
      </c>
      <c r="V27" s="71">
        <f t="shared" si="146"/>
        <v>2.7777777777777776E-2</v>
      </c>
      <c r="W27" s="72">
        <f t="shared" si="37"/>
        <v>5963.3424999999997</v>
      </c>
      <c r="X27" s="71">
        <f t="shared" si="146"/>
        <v>2.7777777777777776E-2</v>
      </c>
      <c r="Y27" s="72">
        <f t="shared" si="38"/>
        <v>5963.3424999999997</v>
      </c>
      <c r="Z27" s="71">
        <f t="shared" si="146"/>
        <v>2.7777777777777776E-2</v>
      </c>
      <c r="AA27" s="72">
        <f t="shared" si="39"/>
        <v>5963.3424999999997</v>
      </c>
      <c r="AB27" s="71">
        <f t="shared" si="146"/>
        <v>2.7777777777777776E-2</v>
      </c>
      <c r="AC27" s="72">
        <f t="shared" si="40"/>
        <v>5963.3424999999997</v>
      </c>
      <c r="AD27" s="71">
        <f t="shared" si="146"/>
        <v>2.7777777777777776E-2</v>
      </c>
      <c r="AE27" s="72">
        <f t="shared" si="41"/>
        <v>5963.3424999999997</v>
      </c>
      <c r="AF27" s="71">
        <f t="shared" si="146"/>
        <v>2.7777777777777776E-2</v>
      </c>
      <c r="AG27" s="72">
        <f t="shared" si="42"/>
        <v>5963.3424999999997</v>
      </c>
      <c r="AH27" s="71">
        <f t="shared" si="146"/>
        <v>2.7777777777777776E-2</v>
      </c>
      <c r="AI27" s="72">
        <f t="shared" si="43"/>
        <v>5963.3424999999997</v>
      </c>
      <c r="AJ27" s="71">
        <f t="shared" si="146"/>
        <v>2.7777777777777776E-2</v>
      </c>
      <c r="AK27" s="72">
        <f t="shared" si="44"/>
        <v>5963.3424999999997</v>
      </c>
      <c r="AL27" s="71">
        <f t="shared" si="146"/>
        <v>2.7777777777777776E-2</v>
      </c>
      <c r="AM27" s="72">
        <f t="shared" si="45"/>
        <v>5963.3424999999997</v>
      </c>
      <c r="AN27" s="71">
        <f t="shared" si="146"/>
        <v>2.7777777777777776E-2</v>
      </c>
      <c r="AO27" s="72">
        <f t="shared" si="46"/>
        <v>5963.3424999999997</v>
      </c>
      <c r="AP27" s="71">
        <f t="shared" si="146"/>
        <v>2.7777777777777776E-2</v>
      </c>
      <c r="AQ27" s="72">
        <f t="shared" si="47"/>
        <v>5963.3424999999997</v>
      </c>
      <c r="AR27" s="71">
        <f t="shared" si="146"/>
        <v>2.7777777777777776E-2</v>
      </c>
      <c r="AS27" s="72">
        <f t="shared" si="48"/>
        <v>5963.3424999999997</v>
      </c>
      <c r="AT27" s="71">
        <f t="shared" si="146"/>
        <v>2.7777777777777776E-2</v>
      </c>
      <c r="AU27" s="72">
        <f t="shared" si="49"/>
        <v>5963.3424999999997</v>
      </c>
      <c r="AV27" s="71">
        <f t="shared" si="146"/>
        <v>2.7777777777777776E-2</v>
      </c>
      <c r="AW27" s="72">
        <f t="shared" si="50"/>
        <v>5963.3424999999997</v>
      </c>
      <c r="AX27" s="71">
        <f t="shared" si="146"/>
        <v>2.7777777777777776E-2</v>
      </c>
      <c r="AY27" s="72">
        <f t="shared" si="147"/>
        <v>5963.3424999999997</v>
      </c>
      <c r="AZ27" s="71">
        <f t="shared" si="146"/>
        <v>2.7777777777777776E-2</v>
      </c>
      <c r="BA27" s="72">
        <f t="shared" si="148"/>
        <v>5963.3424999999997</v>
      </c>
      <c r="BB27" s="71">
        <f t="shared" si="146"/>
        <v>2.7777777777777776E-2</v>
      </c>
      <c r="BC27" s="72">
        <f t="shared" si="149"/>
        <v>5963.3424999999997</v>
      </c>
      <c r="BD27" s="71">
        <f t="shared" si="146"/>
        <v>2.7777777777777776E-2</v>
      </c>
      <c r="BE27" s="72">
        <f t="shared" si="150"/>
        <v>5963.3424999999997</v>
      </c>
      <c r="BF27" s="71">
        <f t="shared" si="146"/>
        <v>2.7777777777777776E-2</v>
      </c>
      <c r="BG27" s="72">
        <f t="shared" si="151"/>
        <v>5963.3424999999997</v>
      </c>
      <c r="BH27" s="71">
        <f t="shared" si="146"/>
        <v>2.7777777777777776E-2</v>
      </c>
      <c r="BI27" s="72">
        <f t="shared" si="152"/>
        <v>5963.3424999999997</v>
      </c>
      <c r="BJ27" s="71">
        <f t="shared" si="146"/>
        <v>2.7777777777777776E-2</v>
      </c>
      <c r="BK27" s="72">
        <f t="shared" si="153"/>
        <v>5963.3424999999997</v>
      </c>
      <c r="BL27" s="71">
        <f t="shared" si="146"/>
        <v>2.7777777777777776E-2</v>
      </c>
      <c r="BM27" s="72">
        <f t="shared" si="154"/>
        <v>5963.3424999999997</v>
      </c>
      <c r="BN27" s="71">
        <f t="shared" si="146"/>
        <v>2.7777777777777776E-2</v>
      </c>
      <c r="BO27" s="72">
        <f t="shared" si="155"/>
        <v>5963.3424999999997</v>
      </c>
      <c r="BP27" s="71">
        <f t="shared" si="146"/>
        <v>2.7777777777777776E-2</v>
      </c>
      <c r="BQ27" s="72">
        <f t="shared" si="156"/>
        <v>5963.3424999999997</v>
      </c>
      <c r="BR27" s="71">
        <f t="shared" si="146"/>
        <v>2.7777777777777776E-2</v>
      </c>
      <c r="BS27" s="72">
        <f t="shared" si="157"/>
        <v>5963.3424999999997</v>
      </c>
      <c r="BT27" s="71">
        <f t="shared" si="146"/>
        <v>2.7777777777777776E-2</v>
      </c>
      <c r="BU27" s="72">
        <f t="shared" si="158"/>
        <v>5963.3424999999997</v>
      </c>
      <c r="BV27" s="71">
        <f t="shared" si="146"/>
        <v>2.7777777777777776E-2</v>
      </c>
      <c r="BW27" s="72">
        <f t="shared" si="159"/>
        <v>5963.3424999999997</v>
      </c>
      <c r="BX27" s="71">
        <f t="shared" si="146"/>
        <v>2.7777777777777776E-2</v>
      </c>
      <c r="BY27" s="72">
        <f t="shared" si="160"/>
        <v>5963.3424999999997</v>
      </c>
      <c r="BZ27" s="71">
        <f t="shared" si="146"/>
        <v>2.7777777777777776E-2</v>
      </c>
      <c r="CA27" s="72">
        <f t="shared" si="161"/>
        <v>5963.3424999999997</v>
      </c>
      <c r="CB27" s="71">
        <f t="shared" si="146"/>
        <v>2.7777777777777776E-2</v>
      </c>
      <c r="CC27" s="72">
        <f t="shared" si="162"/>
        <v>5963.3424999999997</v>
      </c>
      <c r="CD27" s="71">
        <f t="shared" si="146"/>
        <v>2.7777777777777776E-2</v>
      </c>
      <c r="CE27" s="72">
        <f t="shared" si="163"/>
        <v>5963.3424999999997</v>
      </c>
      <c r="CF27" s="71">
        <f t="shared" si="146"/>
        <v>2.7777777777777776E-2</v>
      </c>
      <c r="CG27" s="72">
        <f t="shared" si="164"/>
        <v>5963.3424999999997</v>
      </c>
    </row>
    <row r="28" spans="2:85" x14ac:dyDescent="0.25">
      <c r="B28" s="25"/>
      <c r="C28" s="96"/>
      <c r="D28" s="97"/>
      <c r="E28" s="97"/>
      <c r="F28" s="97"/>
      <c r="G28" s="97"/>
      <c r="H28" s="97"/>
      <c r="I28" s="97"/>
      <c r="J28" s="97"/>
      <c r="K28" s="97"/>
      <c r="L28" s="98"/>
      <c r="N28" s="71"/>
      <c r="O28" s="72">
        <f t="shared" si="69"/>
        <v>0</v>
      </c>
      <c r="P28" s="71"/>
      <c r="Q28" s="72">
        <f t="shared" si="69"/>
        <v>0</v>
      </c>
      <c r="R28" s="71"/>
      <c r="S28" s="72">
        <f t="shared" si="35"/>
        <v>0</v>
      </c>
      <c r="T28" s="71"/>
      <c r="U28" s="72">
        <f t="shared" si="36"/>
        <v>0</v>
      </c>
      <c r="V28" s="71"/>
      <c r="W28" s="72">
        <f t="shared" si="37"/>
        <v>0</v>
      </c>
      <c r="X28" s="71"/>
      <c r="Y28" s="72">
        <f t="shared" si="38"/>
        <v>0</v>
      </c>
      <c r="Z28" s="71"/>
      <c r="AA28" s="72">
        <f t="shared" si="39"/>
        <v>0</v>
      </c>
      <c r="AB28" s="71"/>
      <c r="AC28" s="72">
        <f t="shared" si="40"/>
        <v>0</v>
      </c>
      <c r="AD28" s="71"/>
      <c r="AE28" s="72">
        <f t="shared" si="41"/>
        <v>0</v>
      </c>
      <c r="AF28" s="71"/>
      <c r="AG28" s="72">
        <f t="shared" si="42"/>
        <v>0</v>
      </c>
      <c r="AH28" s="71"/>
      <c r="AI28" s="72">
        <f t="shared" si="43"/>
        <v>0</v>
      </c>
      <c r="AJ28" s="71"/>
      <c r="AK28" s="72">
        <f t="shared" si="44"/>
        <v>0</v>
      </c>
      <c r="AL28" s="71"/>
      <c r="AM28" s="72">
        <f t="shared" si="45"/>
        <v>0</v>
      </c>
      <c r="AN28" s="71"/>
      <c r="AO28" s="72">
        <f t="shared" si="46"/>
        <v>0</v>
      </c>
      <c r="AP28" s="71"/>
      <c r="AQ28" s="72">
        <f t="shared" si="47"/>
        <v>0</v>
      </c>
      <c r="AR28" s="71"/>
      <c r="AS28" s="72">
        <f t="shared" si="48"/>
        <v>0</v>
      </c>
      <c r="AT28" s="72"/>
      <c r="AU28" s="72">
        <f t="shared" si="49"/>
        <v>0</v>
      </c>
      <c r="AV28" s="71"/>
      <c r="AW28" s="72">
        <f t="shared" si="50"/>
        <v>0</v>
      </c>
      <c r="AX28" s="71"/>
      <c r="AY28" s="72">
        <f t="shared" si="147"/>
        <v>0</v>
      </c>
      <c r="AZ28" s="71"/>
      <c r="BA28" s="72">
        <f t="shared" si="148"/>
        <v>0</v>
      </c>
      <c r="BB28" s="71"/>
      <c r="BC28" s="72">
        <f t="shared" si="149"/>
        <v>0</v>
      </c>
      <c r="BD28" s="71"/>
      <c r="BE28" s="72">
        <f t="shared" si="150"/>
        <v>0</v>
      </c>
      <c r="BF28" s="71"/>
      <c r="BG28" s="72">
        <f t="shared" si="151"/>
        <v>0</v>
      </c>
      <c r="BH28" s="71"/>
      <c r="BI28" s="72">
        <f t="shared" si="152"/>
        <v>0</v>
      </c>
      <c r="BJ28" s="71"/>
      <c r="BK28" s="72">
        <f t="shared" si="153"/>
        <v>0</v>
      </c>
      <c r="BL28" s="71"/>
      <c r="BM28" s="72">
        <f t="shared" si="154"/>
        <v>0</v>
      </c>
      <c r="BN28" s="71"/>
      <c r="BO28" s="72">
        <f t="shared" si="155"/>
        <v>0</v>
      </c>
      <c r="BP28" s="71"/>
      <c r="BQ28" s="72">
        <f t="shared" si="156"/>
        <v>0</v>
      </c>
      <c r="BR28" s="71"/>
      <c r="BS28" s="72">
        <f t="shared" si="157"/>
        <v>0</v>
      </c>
      <c r="BT28" s="71"/>
      <c r="BU28" s="72">
        <f t="shared" si="158"/>
        <v>0</v>
      </c>
      <c r="BV28" s="71"/>
      <c r="BW28" s="72">
        <f t="shared" si="159"/>
        <v>0</v>
      </c>
      <c r="BX28" s="71"/>
      <c r="BY28" s="72">
        <f t="shared" si="160"/>
        <v>0</v>
      </c>
      <c r="BZ28" s="71"/>
      <c r="CA28" s="72">
        <f t="shared" si="161"/>
        <v>0</v>
      </c>
      <c r="CB28" s="71"/>
      <c r="CC28" s="72">
        <f t="shared" si="162"/>
        <v>0</v>
      </c>
      <c r="CD28" s="71"/>
      <c r="CE28" s="72">
        <f t="shared" si="163"/>
        <v>0</v>
      </c>
      <c r="CF28" s="71"/>
      <c r="CG28" s="72">
        <f t="shared" si="164"/>
        <v>0</v>
      </c>
    </row>
    <row r="29" spans="2:85" x14ac:dyDescent="0.25">
      <c r="B29" s="25"/>
      <c r="C29" s="99" t="s">
        <v>112</v>
      </c>
      <c r="D29" s="100"/>
      <c r="E29" s="100"/>
      <c r="F29" s="100"/>
      <c r="G29" s="100"/>
      <c r="H29" s="100"/>
      <c r="I29" s="100"/>
      <c r="J29" s="100"/>
      <c r="K29" s="112"/>
      <c r="L29" s="61">
        <f>SUM(L24,L13,L7,L22,L20)</f>
        <v>5579925.1280363994</v>
      </c>
      <c r="M29" s="3"/>
    </row>
    <row r="30" spans="2:85" x14ac:dyDescent="0.25">
      <c r="C30" s="101"/>
      <c r="D30" s="101"/>
      <c r="E30" s="101"/>
      <c r="F30" s="101"/>
      <c r="G30" s="101"/>
      <c r="H30" s="101"/>
      <c r="I30" s="101"/>
      <c r="J30" s="101"/>
      <c r="K30" s="101"/>
      <c r="L30" s="101"/>
    </row>
    <row r="31" spans="2:85" s="3" customFormat="1" x14ac:dyDescent="0.25">
      <c r="B31"/>
      <c r="D31" s="12"/>
      <c r="E31" s="53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</row>
    <row r="37" spans="9:38" x14ac:dyDescent="0.25">
      <c r="AL37">
        <f>5883956*1.1</f>
        <v>6472351.6000000006</v>
      </c>
    </row>
    <row r="39" spans="9:38" x14ac:dyDescent="0.25">
      <c r="I39" s="68"/>
    </row>
  </sheetData>
  <mergeCells count="83">
    <mergeCell ref="C28:L28"/>
    <mergeCell ref="C29:K29"/>
    <mergeCell ref="C30:L30"/>
    <mergeCell ref="AB5:AC5"/>
    <mergeCell ref="AD5:AE5"/>
    <mergeCell ref="X5:Y5"/>
    <mergeCell ref="Z5:AA5"/>
    <mergeCell ref="N5:O5"/>
    <mergeCell ref="B24:E24"/>
    <mergeCell ref="B5:H5"/>
    <mergeCell ref="B7:E7"/>
    <mergeCell ref="B13:E13"/>
    <mergeCell ref="B20:E20"/>
    <mergeCell ref="B22:E22"/>
    <mergeCell ref="P5:Q5"/>
    <mergeCell ref="R5:S5"/>
    <mergeCell ref="T5:U5"/>
    <mergeCell ref="V4:W4"/>
    <mergeCell ref="AV5:AW5"/>
    <mergeCell ref="AT5:AU5"/>
    <mergeCell ref="AR5:AS5"/>
    <mergeCell ref="AF5:AG5"/>
    <mergeCell ref="AH5:AI5"/>
    <mergeCell ref="AJ5:AK5"/>
    <mergeCell ref="V5:W5"/>
    <mergeCell ref="AF4:AG4"/>
    <mergeCell ref="AH4:AI4"/>
    <mergeCell ref="AP5:AQ5"/>
    <mergeCell ref="AN5:AO5"/>
    <mergeCell ref="AL5:AM5"/>
    <mergeCell ref="AL4:AM4"/>
    <mergeCell ref="AT4:AU4"/>
    <mergeCell ref="AV4:AW4"/>
    <mergeCell ref="X4:Y4"/>
    <mergeCell ref="Z4:AA4"/>
    <mergeCell ref="AB4:AC4"/>
    <mergeCell ref="AD4:AE4"/>
    <mergeCell ref="B4:L4"/>
    <mergeCell ref="AJ4:AK4"/>
    <mergeCell ref="AN4:AO4"/>
    <mergeCell ref="AP4:AQ4"/>
    <mergeCell ref="AR4:AS4"/>
    <mergeCell ref="N4:O4"/>
    <mergeCell ref="P4:Q4"/>
    <mergeCell ref="R4:S4"/>
    <mergeCell ref="T4:U4"/>
    <mergeCell ref="AX4:AY4"/>
    <mergeCell ref="AX5:AY5"/>
    <mergeCell ref="AZ4:BA4"/>
    <mergeCell ref="AZ5:BA5"/>
    <mergeCell ref="BB4:BC4"/>
    <mergeCell ref="BB5:BC5"/>
    <mergeCell ref="BD4:BE4"/>
    <mergeCell ref="BD5:BE5"/>
    <mergeCell ref="BF4:BG4"/>
    <mergeCell ref="BF5:BG5"/>
    <mergeCell ref="BH4:BI4"/>
    <mergeCell ref="BH5:BI5"/>
    <mergeCell ref="BR5:BS5"/>
    <mergeCell ref="BT4:BU4"/>
    <mergeCell ref="BT5:BU5"/>
    <mergeCell ref="BJ4:BK4"/>
    <mergeCell ref="BJ5:BK5"/>
    <mergeCell ref="BL4:BM4"/>
    <mergeCell ref="BL5:BM5"/>
    <mergeCell ref="BN4:BO4"/>
    <mergeCell ref="BN5:BO5"/>
    <mergeCell ref="B3:CG3"/>
    <mergeCell ref="CB4:CC4"/>
    <mergeCell ref="CB5:CC5"/>
    <mergeCell ref="CD4:CE4"/>
    <mergeCell ref="CD5:CE5"/>
    <mergeCell ref="CF4:CG4"/>
    <mergeCell ref="CF5:CG5"/>
    <mergeCell ref="BV4:BW4"/>
    <mergeCell ref="BV5:BW5"/>
    <mergeCell ref="BX4:BY4"/>
    <mergeCell ref="BX5:BY5"/>
    <mergeCell ref="BZ4:CA4"/>
    <mergeCell ref="BZ5:CA5"/>
    <mergeCell ref="BP4:BQ4"/>
    <mergeCell ref="BP5:BQ5"/>
    <mergeCell ref="BR4:BS4"/>
  </mergeCells>
  <phoneticPr fontId="3" type="noConversion"/>
  <conditionalFormatting sqref="N7:CG19 N21:CG28">
    <cfRule type="cellIs" dxfId="0" priority="1" operator="greaterThan">
      <formula>0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66" scale="81" fitToWidth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39AFA-DCB7-4509-BE5F-E8C100697A33}">
  <sheetPr>
    <pageSetUpPr fitToPage="1"/>
  </sheetPr>
  <dimension ref="B3:M88"/>
  <sheetViews>
    <sheetView topLeftCell="A3" zoomScale="80" zoomScaleNormal="80" workbookViewId="0">
      <selection activeCell="E10" sqref="E10"/>
    </sheetView>
  </sheetViews>
  <sheetFormatPr defaultRowHeight="15" x14ac:dyDescent="0.25"/>
  <cols>
    <col min="3" max="3" width="27.7109375" style="3" bestFit="1" customWidth="1"/>
    <col min="4" max="4" width="15.85546875" style="12" customWidth="1"/>
    <col min="5" max="5" width="98.42578125" style="53" customWidth="1"/>
    <col min="6" max="6" width="9.5703125" style="3" customWidth="1"/>
    <col min="7" max="7" width="12.85546875" style="3" bestFit="1" customWidth="1"/>
    <col min="8" max="8" width="14.42578125" style="3" customWidth="1"/>
    <col min="9" max="9" width="12.7109375" style="3" customWidth="1"/>
    <col min="10" max="10" width="9.28515625" style="3" hidden="1" customWidth="1"/>
    <col min="11" max="11" width="11.5703125" style="3" hidden="1" customWidth="1"/>
    <col min="12" max="12" width="24" style="3" bestFit="1" customWidth="1"/>
    <col min="13" max="13" width="16" customWidth="1"/>
  </cols>
  <sheetData>
    <row r="3" spans="2:13" ht="30" x14ac:dyDescent="0.25">
      <c r="B3" s="91" t="s">
        <v>110</v>
      </c>
      <c r="C3" s="91"/>
      <c r="D3" s="91"/>
      <c r="E3" s="91"/>
      <c r="F3" s="91"/>
      <c r="G3" s="91"/>
      <c r="H3" s="91"/>
      <c r="I3" s="32" t="s">
        <v>107</v>
      </c>
      <c r="J3" s="32"/>
      <c r="K3" s="32"/>
      <c r="L3" s="63" t="s">
        <v>111</v>
      </c>
    </row>
    <row r="4" spans="2:13" x14ac:dyDescent="0.25">
      <c r="B4" s="91"/>
      <c r="C4" s="91"/>
      <c r="D4" s="91"/>
      <c r="E4" s="91"/>
      <c r="F4" s="91"/>
      <c r="G4" s="91"/>
      <c r="H4" s="91"/>
      <c r="I4" s="32" t="s">
        <v>109</v>
      </c>
      <c r="J4" s="32"/>
      <c r="K4" s="32"/>
      <c r="L4" s="36">
        <v>45444</v>
      </c>
    </row>
    <row r="5" spans="2:13" ht="30" customHeight="1" x14ac:dyDescent="0.25">
      <c r="B5" s="116" t="s">
        <v>157</v>
      </c>
      <c r="C5" s="92"/>
      <c r="D5" s="92"/>
      <c r="E5" s="92"/>
      <c r="F5" s="92"/>
      <c r="G5" s="92"/>
      <c r="H5" s="92"/>
      <c r="I5" s="32" t="s">
        <v>106</v>
      </c>
      <c r="J5" s="32"/>
      <c r="K5" s="32"/>
      <c r="L5" s="35">
        <v>0.24629999999999999</v>
      </c>
    </row>
    <row r="6" spans="2:13" ht="36" customHeight="1" x14ac:dyDescent="0.25">
      <c r="B6" s="92"/>
      <c r="C6" s="92"/>
      <c r="D6" s="92"/>
      <c r="E6" s="92"/>
      <c r="F6" s="92"/>
      <c r="G6" s="92"/>
      <c r="H6" s="92"/>
      <c r="I6" s="27" t="s">
        <v>105</v>
      </c>
      <c r="J6" s="27"/>
      <c r="K6" s="27"/>
      <c r="L6" s="35">
        <v>0.20349999999999999</v>
      </c>
    </row>
    <row r="7" spans="2:13" ht="45" x14ac:dyDescent="0.25">
      <c r="B7" s="62" t="s">
        <v>102</v>
      </c>
      <c r="C7" s="62" t="s">
        <v>90</v>
      </c>
      <c r="D7" s="33" t="s">
        <v>103</v>
      </c>
      <c r="E7" s="34" t="s">
        <v>62</v>
      </c>
      <c r="F7" s="62" t="s">
        <v>5</v>
      </c>
      <c r="G7" s="62" t="s">
        <v>6</v>
      </c>
      <c r="H7" s="34" t="s">
        <v>89</v>
      </c>
      <c r="I7" s="34" t="s">
        <v>104</v>
      </c>
      <c r="J7" s="62" t="s">
        <v>7</v>
      </c>
      <c r="K7" s="62" t="s">
        <v>8</v>
      </c>
      <c r="L7" s="34" t="s">
        <v>108</v>
      </c>
    </row>
    <row r="8" spans="2:13" x14ac:dyDescent="0.25">
      <c r="B8" s="93" t="s">
        <v>131</v>
      </c>
      <c r="C8" s="94"/>
      <c r="D8" s="94"/>
      <c r="E8" s="94"/>
      <c r="F8" s="26"/>
      <c r="G8" s="26"/>
      <c r="H8" s="26"/>
      <c r="I8" s="26"/>
      <c r="J8" s="26"/>
      <c r="K8" s="26"/>
      <c r="L8" s="27">
        <f>SUM(L9:L13)</f>
        <v>11018.650126931199</v>
      </c>
    </row>
    <row r="9" spans="2:13" ht="30" x14ac:dyDescent="0.25">
      <c r="B9" s="24" t="s">
        <v>91</v>
      </c>
      <c r="C9" s="17" t="s">
        <v>15</v>
      </c>
      <c r="D9" s="18" t="s">
        <v>43</v>
      </c>
      <c r="E9" s="50" t="s">
        <v>68</v>
      </c>
      <c r="F9" s="19" t="s">
        <v>9</v>
      </c>
      <c r="G9" s="19">
        <v>4</v>
      </c>
      <c r="H9" s="67">
        <v>470.87</v>
      </c>
      <c r="I9" s="19">
        <f>H9*(1+$L$6)</f>
        <v>566.69204500000001</v>
      </c>
      <c r="J9" s="19">
        <v>281.49</v>
      </c>
      <c r="K9" s="21">
        <v>36.94</v>
      </c>
      <c r="L9" s="17">
        <f>G9*I9</f>
        <v>2266.76818</v>
      </c>
    </row>
    <row r="10" spans="2:13" ht="45" x14ac:dyDescent="0.25">
      <c r="B10" s="24" t="s">
        <v>92</v>
      </c>
      <c r="C10" s="17"/>
      <c r="D10" s="18" t="s">
        <v>115</v>
      </c>
      <c r="E10" s="50" t="s">
        <v>116</v>
      </c>
      <c r="F10" s="17" t="s">
        <v>10</v>
      </c>
      <c r="G10" s="17">
        <f>((0.9*2.2)*((1024/3)))*0.2*1.4</f>
        <v>189.23519999999999</v>
      </c>
      <c r="H10" s="19">
        <v>10.210000000000001</v>
      </c>
      <c r="I10" s="19">
        <f>H10*(1+$L$6)</f>
        <v>12.287735000000001</v>
      </c>
      <c r="J10" s="17">
        <f>2.93+5.54</f>
        <v>8.4700000000000006</v>
      </c>
      <c r="K10" s="22">
        <v>3.35</v>
      </c>
      <c r="L10" s="17">
        <f>G10*I10</f>
        <v>2325.271990272</v>
      </c>
    </row>
    <row r="11" spans="2:13" ht="45" x14ac:dyDescent="0.25">
      <c r="B11" s="24" t="s">
        <v>93</v>
      </c>
      <c r="C11" s="17"/>
      <c r="D11" s="18" t="s">
        <v>117</v>
      </c>
      <c r="E11" s="50" t="s">
        <v>118</v>
      </c>
      <c r="F11" s="17" t="s">
        <v>10</v>
      </c>
      <c r="G11" s="17">
        <f>G10</f>
        <v>189.23519999999999</v>
      </c>
      <c r="H11" s="19">
        <v>8.91</v>
      </c>
      <c r="I11" s="19">
        <f>H11*(1+$L$6)</f>
        <v>10.723185000000001</v>
      </c>
      <c r="J11" s="17">
        <f>3.73+3.77</f>
        <v>7.5</v>
      </c>
      <c r="K11" s="22">
        <v>1.04</v>
      </c>
      <c r="L11" s="17">
        <f>G11*I11</f>
        <v>2029.204058112</v>
      </c>
    </row>
    <row r="12" spans="2:13" ht="45" x14ac:dyDescent="0.25">
      <c r="B12" s="24" t="s">
        <v>94</v>
      </c>
      <c r="C12" s="17"/>
      <c r="D12" s="18" t="s">
        <v>119</v>
      </c>
      <c r="E12" s="20" t="s">
        <v>88</v>
      </c>
      <c r="F12" s="17" t="s">
        <v>26</v>
      </c>
      <c r="G12" s="17">
        <f>(G11/168)*8*1.15</f>
        <v>10.362879999999997</v>
      </c>
      <c r="H12" s="19">
        <v>352.59</v>
      </c>
      <c r="I12" s="19">
        <f>H12*(1+$L$6)</f>
        <v>424.34206499999999</v>
      </c>
      <c r="J12" s="17">
        <f>207.86+130.82</f>
        <v>338.68</v>
      </c>
      <c r="K12" s="22">
        <v>27.81</v>
      </c>
      <c r="L12" s="17">
        <f>G12*I12</f>
        <v>4397.4058985471984</v>
      </c>
    </row>
    <row r="13" spans="2:13" x14ac:dyDescent="0.25">
      <c r="B13" s="24" t="s">
        <v>95</v>
      </c>
      <c r="C13" s="17"/>
      <c r="D13" s="18"/>
      <c r="E13" s="20"/>
      <c r="F13" s="17"/>
      <c r="G13" s="17"/>
      <c r="H13" s="19">
        <f>J13+K13</f>
        <v>0</v>
      </c>
      <c r="I13" s="19"/>
      <c r="J13" s="17"/>
      <c r="K13" s="22"/>
      <c r="L13" s="17"/>
    </row>
    <row r="14" spans="2:13" x14ac:dyDescent="0.25">
      <c r="B14" s="117" t="s">
        <v>120</v>
      </c>
      <c r="C14" s="118"/>
      <c r="D14" s="26"/>
      <c r="E14" s="51"/>
      <c r="F14" s="26"/>
      <c r="G14" s="26"/>
      <c r="H14" s="19">
        <f>J14+K14</f>
        <v>0</v>
      </c>
      <c r="I14" s="26"/>
      <c r="J14" s="26"/>
      <c r="K14" s="26"/>
      <c r="L14" s="27">
        <f>SUM(L15:L22)</f>
        <v>1956286.2600887869</v>
      </c>
    </row>
    <row r="15" spans="2:13" ht="30" x14ac:dyDescent="0.25">
      <c r="B15" s="24" t="s">
        <v>96</v>
      </c>
      <c r="C15" s="17" t="s">
        <v>15</v>
      </c>
      <c r="D15" s="18" t="s">
        <v>138</v>
      </c>
      <c r="E15" s="20" t="s">
        <v>139</v>
      </c>
      <c r="F15" s="17" t="s">
        <v>9</v>
      </c>
      <c r="G15" s="17">
        <f>(2.2*0.92)*(1024/3)*1.3</f>
        <v>898.11626666666677</v>
      </c>
      <c r="H15" s="19">
        <v>164.45</v>
      </c>
      <c r="I15" s="19">
        <f t="shared" ref="I15:I22" si="0">H15*(1+$L$6)</f>
        <v>197.91557499999999</v>
      </c>
      <c r="J15" s="17">
        <f>58.17+0.11</f>
        <v>58.28</v>
      </c>
      <c r="K15" s="22">
        <v>24.53</v>
      </c>
      <c r="L15" s="17">
        <f t="shared" ref="L15:L22" si="1">G15*I15</f>
        <v>177751.19733418667</v>
      </c>
      <c r="M15" s="16"/>
    </row>
    <row r="16" spans="2:13" x14ac:dyDescent="0.25">
      <c r="B16" s="24" t="s">
        <v>97</v>
      </c>
      <c r="C16" s="17" t="s">
        <v>135</v>
      </c>
      <c r="D16" s="18" t="s">
        <v>136</v>
      </c>
      <c r="E16" s="65" t="s">
        <v>137</v>
      </c>
      <c r="F16" s="17" t="s">
        <v>127</v>
      </c>
      <c r="G16" s="17">
        <v>700</v>
      </c>
      <c r="H16" s="19">
        <v>950</v>
      </c>
      <c r="I16" s="19">
        <f t="shared" si="0"/>
        <v>1143.325</v>
      </c>
      <c r="J16" s="17"/>
      <c r="K16" s="22">
        <v>146.83000000000001</v>
      </c>
      <c r="L16" s="17">
        <f t="shared" si="1"/>
        <v>800327.5</v>
      </c>
      <c r="M16" t="s">
        <v>114</v>
      </c>
    </row>
    <row r="17" spans="2:13" x14ac:dyDescent="0.25">
      <c r="B17" s="24" t="s">
        <v>142</v>
      </c>
      <c r="C17" s="17" t="s">
        <v>132</v>
      </c>
      <c r="D17" s="18" t="s">
        <v>133</v>
      </c>
      <c r="E17" s="20" t="s">
        <v>148</v>
      </c>
      <c r="F17" s="17" t="s">
        <v>127</v>
      </c>
      <c r="G17" s="17">
        <v>1024</v>
      </c>
      <c r="H17" s="19">
        <v>525</v>
      </c>
      <c r="I17" s="19">
        <f t="shared" si="0"/>
        <v>631.83749999999998</v>
      </c>
      <c r="J17" s="17"/>
      <c r="K17" s="22"/>
      <c r="L17" s="17">
        <f t="shared" si="1"/>
        <v>647001.59999999998</v>
      </c>
    </row>
    <row r="18" spans="2:13" x14ac:dyDescent="0.25">
      <c r="B18" s="24" t="s">
        <v>143</v>
      </c>
      <c r="C18" s="17" t="s">
        <v>15</v>
      </c>
      <c r="D18" s="18" t="s">
        <v>123</v>
      </c>
      <c r="E18" s="20" t="s">
        <v>124</v>
      </c>
      <c r="F18" s="17" t="s">
        <v>20</v>
      </c>
      <c r="G18" s="17">
        <f>(0.92*3)+(2.2*4)+(0.65*6)*1024*3*1.2</f>
        <v>14388.52</v>
      </c>
      <c r="H18" s="19">
        <v>0.49</v>
      </c>
      <c r="I18" s="19">
        <f t="shared" si="0"/>
        <v>0.58971499999999999</v>
      </c>
      <c r="J18" s="17">
        <v>0.09</v>
      </c>
      <c r="K18" s="22">
        <v>0.39</v>
      </c>
      <c r="L18" s="17">
        <f t="shared" si="1"/>
        <v>8485.1260717999994</v>
      </c>
      <c r="M18" t="s">
        <v>114</v>
      </c>
    </row>
    <row r="19" spans="2:13" ht="30" x14ac:dyDescent="0.25">
      <c r="B19" s="24" t="s">
        <v>144</v>
      </c>
      <c r="C19" s="17" t="s">
        <v>15</v>
      </c>
      <c r="D19" s="18" t="s">
        <v>140</v>
      </c>
      <c r="E19" s="20" t="s">
        <v>141</v>
      </c>
      <c r="F19" s="17" t="s">
        <v>9</v>
      </c>
      <c r="G19" s="17">
        <f>(((20*0.9*2.2)+(2.2*0.6*4*2))*(1024/(20*4)))/3</f>
        <v>214.01600000000005</v>
      </c>
      <c r="H19" s="19">
        <v>249.9</v>
      </c>
      <c r="I19" s="19">
        <f t="shared" si="0"/>
        <v>300.75465000000003</v>
      </c>
      <c r="J19" s="17">
        <f>6.13+8.13</f>
        <v>14.260000000000002</v>
      </c>
      <c r="K19" s="22">
        <v>7.19</v>
      </c>
      <c r="L19" s="17">
        <f t="shared" si="1"/>
        <v>64366.307174400019</v>
      </c>
      <c r="M19" t="s">
        <v>114</v>
      </c>
    </row>
    <row r="20" spans="2:13" ht="30" x14ac:dyDescent="0.25">
      <c r="B20" s="24" t="s">
        <v>149</v>
      </c>
      <c r="C20" s="17" t="s">
        <v>15</v>
      </c>
      <c r="D20" s="18" t="s">
        <v>153</v>
      </c>
      <c r="E20" s="20" t="s">
        <v>154</v>
      </c>
      <c r="F20" s="17" t="s">
        <v>54</v>
      </c>
      <c r="G20" s="17">
        <f>(0.8*4)*2.5*(1024/60)*3</f>
        <v>409.6</v>
      </c>
      <c r="H20" s="19">
        <v>249.9</v>
      </c>
      <c r="I20" s="19">
        <f t="shared" si="0"/>
        <v>300.75465000000003</v>
      </c>
      <c r="J20" s="17">
        <f>6.13+8.13</f>
        <v>14.260000000000002</v>
      </c>
      <c r="K20" s="22">
        <v>7.19</v>
      </c>
      <c r="L20" s="17">
        <f t="shared" si="1"/>
        <v>123189.10464000002</v>
      </c>
      <c r="M20" t="s">
        <v>114</v>
      </c>
    </row>
    <row r="21" spans="2:13" ht="30" x14ac:dyDescent="0.25">
      <c r="B21" s="24"/>
      <c r="C21" s="17" t="s">
        <v>15</v>
      </c>
      <c r="D21" s="18">
        <v>99235</v>
      </c>
      <c r="E21" s="20" t="s">
        <v>155</v>
      </c>
      <c r="F21" s="17" t="s">
        <v>10</v>
      </c>
      <c r="G21" s="17">
        <f>(0.8*4)*2.5*0.15*(1024/60)*6</f>
        <v>122.88</v>
      </c>
      <c r="H21" s="19">
        <v>564.23</v>
      </c>
      <c r="I21" s="19">
        <f t="shared" si="0"/>
        <v>679.05080500000008</v>
      </c>
      <c r="J21" s="17"/>
      <c r="K21" s="22"/>
      <c r="L21" s="17">
        <f t="shared" si="1"/>
        <v>83441.762918400011</v>
      </c>
    </row>
    <row r="22" spans="2:13" ht="15" customHeight="1" x14ac:dyDescent="0.25">
      <c r="B22" s="24" t="s">
        <v>150</v>
      </c>
      <c r="C22" s="17" t="s">
        <v>15</v>
      </c>
      <c r="D22" s="18" t="s">
        <v>151</v>
      </c>
      <c r="E22" s="20" t="s">
        <v>152</v>
      </c>
      <c r="F22" s="17" t="s">
        <v>20</v>
      </c>
      <c r="G22" s="17">
        <f>0.9*1700</f>
        <v>1530</v>
      </c>
      <c r="H22" s="19">
        <v>28.09</v>
      </c>
      <c r="I22" s="19">
        <f t="shared" si="0"/>
        <v>33.806314999999998</v>
      </c>
      <c r="J22" s="17">
        <f>6.13+8.13</f>
        <v>14.260000000000002</v>
      </c>
      <c r="K22" s="22">
        <v>7.19</v>
      </c>
      <c r="L22" s="17">
        <f t="shared" si="1"/>
        <v>51723.661949999994</v>
      </c>
      <c r="M22" t="s">
        <v>114</v>
      </c>
    </row>
    <row r="23" spans="2:13" x14ac:dyDescent="0.25">
      <c r="B23" s="117" t="s">
        <v>128</v>
      </c>
      <c r="C23" s="119"/>
      <c r="D23" s="28"/>
      <c r="E23" s="52"/>
      <c r="F23" s="29"/>
      <c r="G23" s="29"/>
      <c r="H23" s="30"/>
      <c r="I23" s="30"/>
      <c r="J23" s="29"/>
      <c r="K23" s="31"/>
      <c r="L23" s="29">
        <f>SUM(L24:L24)</f>
        <v>15629.567123456005</v>
      </c>
    </row>
    <row r="24" spans="2:13" ht="16.5" customHeight="1" x14ac:dyDescent="0.25">
      <c r="B24" s="25" t="s">
        <v>99</v>
      </c>
      <c r="C24" s="17" t="s">
        <v>17</v>
      </c>
      <c r="D24" s="18" t="s">
        <v>66</v>
      </c>
      <c r="E24" s="20" t="s">
        <v>67</v>
      </c>
      <c r="F24" s="17" t="s">
        <v>9</v>
      </c>
      <c r="G24" s="17">
        <f>G15</f>
        <v>898.11626666666677</v>
      </c>
      <c r="H24" s="19">
        <v>14.46</v>
      </c>
      <c r="I24" s="19">
        <f>H24*(1+$L$6)</f>
        <v>17.402610000000003</v>
      </c>
      <c r="J24" s="17"/>
      <c r="K24" s="22">
        <v>13.14</v>
      </c>
      <c r="L24" s="17">
        <f>G24*I24</f>
        <v>15629.567123456005</v>
      </c>
    </row>
    <row r="25" spans="2:13" x14ac:dyDescent="0.25">
      <c r="B25" s="93" t="s">
        <v>129</v>
      </c>
      <c r="C25" s="94"/>
      <c r="D25" s="26"/>
      <c r="E25" s="51"/>
      <c r="F25" s="26"/>
      <c r="G25" s="26"/>
      <c r="H25" s="26"/>
      <c r="I25" s="26"/>
      <c r="J25" s="26"/>
      <c r="K25" s="26"/>
      <c r="L25" s="27">
        <f>SUM(L26:L28)</f>
        <v>303827.90759999998</v>
      </c>
    </row>
    <row r="26" spans="2:13" x14ac:dyDescent="0.25">
      <c r="B26" s="25" t="s">
        <v>100</v>
      </c>
      <c r="C26" s="1" t="s">
        <v>17</v>
      </c>
      <c r="D26" s="10" t="s">
        <v>34</v>
      </c>
      <c r="E26" s="14" t="s">
        <v>63</v>
      </c>
      <c r="F26" s="1" t="s">
        <v>26</v>
      </c>
      <c r="G26" s="1">
        <f>(80*6)</f>
        <v>480</v>
      </c>
      <c r="H26" s="19">
        <v>178.73</v>
      </c>
      <c r="I26" s="19">
        <f>H26*(1+$L$6)</f>
        <v>215.10155499999999</v>
      </c>
      <c r="J26" s="1"/>
      <c r="K26" s="1">
        <v>162.16999999999999</v>
      </c>
      <c r="L26" s="17">
        <f>G26*I26</f>
        <v>103248.74639999999</v>
      </c>
    </row>
    <row r="27" spans="2:13" x14ac:dyDescent="0.25">
      <c r="B27" s="25" t="s">
        <v>101</v>
      </c>
      <c r="C27" s="1" t="s">
        <v>17</v>
      </c>
      <c r="D27" s="10" t="s">
        <v>36</v>
      </c>
      <c r="E27" s="14" t="s">
        <v>64</v>
      </c>
      <c r="F27" s="1" t="s">
        <v>26</v>
      </c>
      <c r="G27" s="1">
        <f>220*6</f>
        <v>1320</v>
      </c>
      <c r="H27" s="19">
        <v>63.75</v>
      </c>
      <c r="I27" s="19">
        <f>H27*(1+$L$6)</f>
        <v>76.723124999999996</v>
      </c>
      <c r="J27" s="1"/>
      <c r="K27" s="1">
        <v>71.67</v>
      </c>
      <c r="L27" s="17">
        <f>G27*I27</f>
        <v>101274.52499999999</v>
      </c>
      <c r="M27" s="16"/>
    </row>
    <row r="28" spans="2:13" x14ac:dyDescent="0.25">
      <c r="B28" s="25" t="s">
        <v>130</v>
      </c>
      <c r="C28" s="1" t="s">
        <v>17</v>
      </c>
      <c r="D28" s="10" t="s">
        <v>55</v>
      </c>
      <c r="E28" s="14" t="s">
        <v>65</v>
      </c>
      <c r="F28" s="1" t="s">
        <v>26</v>
      </c>
      <c r="G28" s="1">
        <f>220*6</f>
        <v>1320</v>
      </c>
      <c r="H28" s="19">
        <v>62.51</v>
      </c>
      <c r="I28" s="19">
        <f>H28*(1+$L$6)</f>
        <v>75.230784999999997</v>
      </c>
      <c r="J28" s="1"/>
      <c r="K28" s="1">
        <v>59.45</v>
      </c>
      <c r="L28" s="17">
        <f>G28*I28</f>
        <v>99304.636199999994</v>
      </c>
      <c r="M28" s="16"/>
    </row>
    <row r="29" spans="2:13" ht="9" customHeight="1" x14ac:dyDescent="0.25">
      <c r="B29" s="25"/>
      <c r="C29" s="96"/>
      <c r="D29" s="97"/>
      <c r="E29" s="97"/>
      <c r="F29" s="97"/>
      <c r="G29" s="97"/>
      <c r="H29" s="97"/>
      <c r="I29" s="97"/>
      <c r="J29" s="97"/>
      <c r="K29" s="97"/>
      <c r="L29" s="98"/>
    </row>
    <row r="30" spans="2:13" x14ac:dyDescent="0.25">
      <c r="B30" s="25"/>
      <c r="C30" s="99" t="s">
        <v>112</v>
      </c>
      <c r="D30" s="100"/>
      <c r="E30" s="100"/>
      <c r="F30" s="100"/>
      <c r="G30" s="100"/>
      <c r="H30" s="100"/>
      <c r="I30" s="100"/>
      <c r="J30" s="100"/>
      <c r="K30" s="112"/>
      <c r="L30" s="61">
        <f>SUM(L25,L14,L8,L23)</f>
        <v>2286762.3849391742</v>
      </c>
      <c r="M30" s="3"/>
    </row>
    <row r="31" spans="2:13" ht="17.25" customHeight="1" x14ac:dyDescent="0.25">
      <c r="C31" s="101"/>
      <c r="D31" s="101"/>
      <c r="E31" s="101"/>
      <c r="F31" s="101"/>
      <c r="G31" s="101"/>
      <c r="H31" s="101"/>
      <c r="I31" s="101"/>
      <c r="J31" s="101"/>
      <c r="K31" s="101"/>
      <c r="L31" s="101"/>
    </row>
    <row r="32" spans="2:13" ht="36" hidden="1" customHeight="1" x14ac:dyDescent="0.25"/>
    <row r="33" spans="3:12" hidden="1" x14ac:dyDescent="0.25">
      <c r="E33" s="14" t="s">
        <v>58</v>
      </c>
      <c r="F33" s="1" t="e">
        <f>#REF!</f>
        <v>#REF!</v>
      </c>
      <c r="G33" s="1" t="s">
        <v>9</v>
      </c>
      <c r="H33" s="23"/>
      <c r="I33" s="23"/>
    </row>
    <row r="34" spans="3:12" hidden="1" x14ac:dyDescent="0.25">
      <c r="E34" s="14" t="s">
        <v>59</v>
      </c>
      <c r="F34" s="1" t="e">
        <f>#REF!</f>
        <v>#REF!</v>
      </c>
      <c r="G34" s="1" t="s">
        <v>9</v>
      </c>
      <c r="H34" s="23"/>
      <c r="I34" s="23"/>
    </row>
    <row r="35" spans="3:12" hidden="1" x14ac:dyDescent="0.25">
      <c r="E35" s="14" t="s">
        <v>60</v>
      </c>
      <c r="F35" s="1">
        <f>6507.1*1.1</f>
        <v>7157.8100000000013</v>
      </c>
      <c r="G35" s="1" t="s">
        <v>9</v>
      </c>
      <c r="H35" s="23"/>
      <c r="I35" s="23"/>
    </row>
    <row r="36" spans="3:12" hidden="1" x14ac:dyDescent="0.25"/>
    <row r="37" spans="3:12" hidden="1" x14ac:dyDescent="0.25">
      <c r="C37" s="120" t="s">
        <v>61</v>
      </c>
      <c r="D37" s="120"/>
      <c r="E37" s="120"/>
      <c r="F37" s="120"/>
      <c r="G37" s="120"/>
      <c r="H37" s="120"/>
      <c r="I37" s="120"/>
      <c r="J37" s="120"/>
      <c r="K37" s="120"/>
      <c r="L37" s="120"/>
    </row>
    <row r="38" spans="3:12" hidden="1" x14ac:dyDescent="0.25">
      <c r="C38" s="5" t="s">
        <v>13</v>
      </c>
      <c r="D38" s="9" t="s">
        <v>14</v>
      </c>
      <c r="E38" s="54" t="s">
        <v>0</v>
      </c>
      <c r="F38" s="5" t="s">
        <v>5</v>
      </c>
      <c r="G38" s="5" t="s">
        <v>6</v>
      </c>
      <c r="H38" s="5"/>
      <c r="I38" s="5"/>
      <c r="J38" s="5" t="s">
        <v>7</v>
      </c>
      <c r="K38" s="5" t="s">
        <v>8</v>
      </c>
      <c r="L38" s="5" t="s">
        <v>27</v>
      </c>
    </row>
    <row r="39" spans="3:12" hidden="1" x14ac:dyDescent="0.25">
      <c r="C39" s="113" t="s">
        <v>39</v>
      </c>
      <c r="D39" s="114"/>
      <c r="E39" s="114"/>
      <c r="F39" s="114"/>
      <c r="G39" s="114"/>
      <c r="H39" s="114"/>
      <c r="I39" s="114"/>
      <c r="J39" s="114"/>
      <c r="K39" s="114"/>
      <c r="L39" s="115"/>
    </row>
    <row r="40" spans="3:12" hidden="1" x14ac:dyDescent="0.25">
      <c r="C40" s="1" t="s">
        <v>15</v>
      </c>
      <c r="D40" s="10" t="s">
        <v>40</v>
      </c>
      <c r="E40" s="55" t="s">
        <v>41</v>
      </c>
      <c r="F40" s="2" t="s">
        <v>42</v>
      </c>
      <c r="G40" s="2">
        <v>2</v>
      </c>
      <c r="H40" s="2"/>
      <c r="I40" s="2"/>
      <c r="J40" s="2">
        <v>816.52</v>
      </c>
      <c r="K40" s="2">
        <v>3358.71</v>
      </c>
      <c r="L40" s="1">
        <f>G40*(J40+K40)</f>
        <v>8350.4599999999991</v>
      </c>
    </row>
    <row r="41" spans="3:12" hidden="1" x14ac:dyDescent="0.25">
      <c r="C41" s="6"/>
      <c r="D41" s="11"/>
      <c r="E41" s="56"/>
      <c r="F41" s="7"/>
      <c r="G41" s="7"/>
      <c r="H41" s="7"/>
      <c r="I41" s="7"/>
      <c r="J41" s="7"/>
      <c r="K41" s="7"/>
      <c r="L41" s="8"/>
    </row>
    <row r="42" spans="3:12" hidden="1" x14ac:dyDescent="0.25">
      <c r="C42" s="113" t="s">
        <v>30</v>
      </c>
      <c r="D42" s="114"/>
      <c r="E42" s="114"/>
      <c r="F42" s="114"/>
      <c r="G42" s="114"/>
      <c r="H42" s="114"/>
      <c r="I42" s="114"/>
      <c r="J42" s="114"/>
      <c r="K42" s="114"/>
      <c r="L42" s="115"/>
    </row>
    <row r="43" spans="3:12" hidden="1" x14ac:dyDescent="0.25">
      <c r="C43" s="1" t="s">
        <v>15</v>
      </c>
      <c r="D43" s="10" t="s">
        <v>43</v>
      </c>
      <c r="E43" s="57" t="s">
        <v>44</v>
      </c>
      <c r="F43" s="13" t="s">
        <v>9</v>
      </c>
      <c r="G43" s="13">
        <v>4</v>
      </c>
      <c r="H43" s="13"/>
      <c r="I43" s="13"/>
      <c r="J43" s="13">
        <v>281.49</v>
      </c>
      <c r="K43" s="13">
        <v>36.94</v>
      </c>
      <c r="L43" s="1">
        <f t="shared" ref="L43:L48" si="2">G43*(J43+K43)</f>
        <v>1273.72</v>
      </c>
    </row>
    <row r="44" spans="3:12" hidden="1" x14ac:dyDescent="0.25">
      <c r="C44" s="1" t="s">
        <v>15</v>
      </c>
      <c r="D44" s="10">
        <v>93208</v>
      </c>
      <c r="E44" s="57" t="s">
        <v>31</v>
      </c>
      <c r="F44" s="13" t="s">
        <v>9</v>
      </c>
      <c r="G44" s="13">
        <v>60</v>
      </c>
      <c r="H44" s="13"/>
      <c r="I44" s="13"/>
      <c r="J44" s="13">
        <v>816.52</v>
      </c>
      <c r="K44" s="13">
        <v>101.83</v>
      </c>
      <c r="L44" s="1">
        <f t="shared" si="2"/>
        <v>55101</v>
      </c>
    </row>
    <row r="45" spans="3:12" hidden="1" x14ac:dyDescent="0.25">
      <c r="C45" s="1" t="s">
        <v>15</v>
      </c>
      <c r="D45" s="10" t="s">
        <v>46</v>
      </c>
      <c r="E45" s="14" t="s">
        <v>57</v>
      </c>
      <c r="F45" s="1" t="s">
        <v>10</v>
      </c>
      <c r="G45" s="15">
        <f>((1815.04*0.25)+(6507.88*0.2))*1.1</f>
        <v>1930.8696000000002</v>
      </c>
      <c r="H45" s="15"/>
      <c r="I45" s="15"/>
      <c r="J45" s="1">
        <v>155.6</v>
      </c>
      <c r="K45" s="1">
        <v>43.79</v>
      </c>
      <c r="L45" s="1">
        <f t="shared" si="2"/>
        <v>384996.08954400005</v>
      </c>
    </row>
    <row r="46" spans="3:12" ht="30" hidden="1" x14ac:dyDescent="0.25">
      <c r="C46" s="1" t="s">
        <v>15</v>
      </c>
      <c r="D46" s="10" t="s">
        <v>45</v>
      </c>
      <c r="E46" s="14" t="s">
        <v>47</v>
      </c>
      <c r="F46" s="1" t="s">
        <v>10</v>
      </c>
      <c r="G46" s="15">
        <v>0</v>
      </c>
      <c r="H46" s="15"/>
      <c r="I46" s="15"/>
      <c r="J46" s="1"/>
      <c r="K46" s="1">
        <v>189.97</v>
      </c>
      <c r="L46" s="1">
        <f t="shared" si="2"/>
        <v>0</v>
      </c>
    </row>
    <row r="47" spans="3:12" hidden="1" x14ac:dyDescent="0.25">
      <c r="C47" s="1" t="s">
        <v>15</v>
      </c>
      <c r="D47" s="10">
        <v>100983</v>
      </c>
      <c r="E47" s="14" t="s">
        <v>1</v>
      </c>
      <c r="F47" s="1" t="s">
        <v>10</v>
      </c>
      <c r="G47" s="1">
        <f>(G45*1.4)</f>
        <v>2703.2174400000004</v>
      </c>
      <c r="H47" s="1"/>
      <c r="I47" s="1"/>
      <c r="J47" s="1">
        <v>8.4600000000000009</v>
      </c>
      <c r="K47" s="1"/>
      <c r="L47" s="1">
        <f t="shared" si="2"/>
        <v>22869.219542400006</v>
      </c>
    </row>
    <row r="48" spans="3:12" hidden="1" x14ac:dyDescent="0.25">
      <c r="C48" s="1" t="s">
        <v>15</v>
      </c>
      <c r="D48" s="10">
        <v>89876</v>
      </c>
      <c r="E48" s="14" t="s">
        <v>11</v>
      </c>
      <c r="F48" s="1" t="s">
        <v>12</v>
      </c>
      <c r="G48" s="1">
        <f>15*8*2</f>
        <v>240</v>
      </c>
      <c r="H48" s="1"/>
      <c r="I48" s="1"/>
      <c r="J48" s="1">
        <v>306.18</v>
      </c>
      <c r="K48" s="1"/>
      <c r="L48" s="1">
        <f t="shared" si="2"/>
        <v>73483.199999999997</v>
      </c>
    </row>
    <row r="49" spans="3:12" hidden="1" x14ac:dyDescent="0.25">
      <c r="C49" s="113" t="s">
        <v>32</v>
      </c>
      <c r="D49" s="114"/>
      <c r="E49" s="114"/>
      <c r="F49" s="114"/>
      <c r="G49" s="114"/>
      <c r="H49" s="114"/>
      <c r="I49" s="114"/>
      <c r="J49" s="114"/>
      <c r="K49" s="114"/>
      <c r="L49" s="115"/>
    </row>
    <row r="50" spans="3:12" hidden="1" x14ac:dyDescent="0.25">
      <c r="C50" s="1" t="s">
        <v>17</v>
      </c>
      <c r="D50" s="10" t="s">
        <v>16</v>
      </c>
      <c r="E50" s="14" t="s">
        <v>2</v>
      </c>
      <c r="F50" s="1" t="s">
        <v>9</v>
      </c>
      <c r="G50" s="1">
        <f>F35*1.1</f>
        <v>7873.5910000000022</v>
      </c>
      <c r="H50" s="1"/>
      <c r="I50" s="1"/>
      <c r="J50" s="1">
        <v>23.062000000000001</v>
      </c>
      <c r="K50" s="1">
        <v>0.49259999999999998</v>
      </c>
      <c r="L50" s="1">
        <f>G50*(J50+K50)</f>
        <v>185459.28656860004</v>
      </c>
    </row>
    <row r="51" spans="3:12" hidden="1" x14ac:dyDescent="0.25">
      <c r="C51" s="1" t="s">
        <v>17</v>
      </c>
      <c r="D51" s="10" t="s">
        <v>18</v>
      </c>
      <c r="E51" s="14" t="s">
        <v>23</v>
      </c>
      <c r="F51" s="1" t="s">
        <v>10</v>
      </c>
      <c r="G51" s="1">
        <f>G50*0.1*1.4</f>
        <v>1102.3027400000003</v>
      </c>
      <c r="H51" s="1"/>
      <c r="I51" s="1"/>
      <c r="J51" s="1">
        <v>204.92</v>
      </c>
      <c r="K51" s="1">
        <v>3.07</v>
      </c>
      <c r="L51" s="1">
        <f>G51*(J51+K51)</f>
        <v>229267.94689260004</v>
      </c>
    </row>
    <row r="52" spans="3:12" hidden="1" x14ac:dyDescent="0.25">
      <c r="C52" s="113" t="s">
        <v>33</v>
      </c>
      <c r="D52" s="114"/>
      <c r="E52" s="114"/>
      <c r="F52" s="114"/>
      <c r="G52" s="114"/>
      <c r="H52" s="114"/>
      <c r="I52" s="114"/>
      <c r="J52" s="114"/>
      <c r="K52" s="114"/>
      <c r="L52" s="115"/>
    </row>
    <row r="53" spans="3:12" hidden="1" x14ac:dyDescent="0.25">
      <c r="C53" s="1" t="s">
        <v>17</v>
      </c>
      <c r="D53" s="10" t="s">
        <v>19</v>
      </c>
      <c r="E53" s="14" t="s">
        <v>3</v>
      </c>
      <c r="F53" s="1" t="s">
        <v>20</v>
      </c>
      <c r="G53" s="1">
        <f>5052.1*1.1</f>
        <v>5557.31</v>
      </c>
      <c r="H53" s="1"/>
      <c r="I53" s="1"/>
      <c r="J53" s="1">
        <v>27.16</v>
      </c>
      <c r="K53" s="1">
        <v>5.65</v>
      </c>
      <c r="L53" s="1">
        <f t="shared" ref="L53:L58" si="3">G53*(J53+K53)</f>
        <v>182335.34110000002</v>
      </c>
    </row>
    <row r="54" spans="3:12" hidden="1" x14ac:dyDescent="0.25">
      <c r="C54" s="1" t="s">
        <v>17</v>
      </c>
      <c r="D54" s="10" t="s">
        <v>24</v>
      </c>
      <c r="E54" s="14" t="s">
        <v>25</v>
      </c>
      <c r="F54" s="1" t="s">
        <v>26</v>
      </c>
      <c r="G54" s="1">
        <v>200</v>
      </c>
      <c r="H54" s="1"/>
      <c r="I54" s="1"/>
      <c r="J54" s="1">
        <v>370.28</v>
      </c>
      <c r="K54" s="1"/>
      <c r="L54" s="1">
        <f t="shared" si="3"/>
        <v>74056</v>
      </c>
    </row>
    <row r="55" spans="3:12" hidden="1" x14ac:dyDescent="0.25">
      <c r="C55" s="1" t="s">
        <v>15</v>
      </c>
      <c r="D55" s="10">
        <v>92397</v>
      </c>
      <c r="E55" s="14" t="s">
        <v>21</v>
      </c>
      <c r="F55" s="1" t="s">
        <v>9</v>
      </c>
      <c r="G55" s="1">
        <f>(6507.54*1.1)-G56</f>
        <v>5954.054000000001</v>
      </c>
      <c r="H55" s="1"/>
      <c r="I55" s="1"/>
      <c r="J55" s="1">
        <v>66.02</v>
      </c>
      <c r="K55" s="1">
        <v>8.6999999999999993</v>
      </c>
      <c r="L55" s="1">
        <f t="shared" si="3"/>
        <v>444886.91488000005</v>
      </c>
    </row>
    <row r="56" spans="3:12" hidden="1" x14ac:dyDescent="0.25">
      <c r="C56" s="1" t="s">
        <v>15</v>
      </c>
      <c r="D56" s="10">
        <v>93679</v>
      </c>
      <c r="E56" s="14" t="s">
        <v>22</v>
      </c>
      <c r="F56" s="1" t="s">
        <v>9</v>
      </c>
      <c r="G56" s="1">
        <v>1204.24</v>
      </c>
      <c r="H56" s="1"/>
      <c r="I56" s="1"/>
      <c r="J56" s="1">
        <v>80.040000000000006</v>
      </c>
      <c r="K56" s="1">
        <f>16.1+0.28</f>
        <v>16.380000000000003</v>
      </c>
      <c r="L56" s="1">
        <f t="shared" si="3"/>
        <v>116112.82080000002</v>
      </c>
    </row>
    <row r="57" spans="3:12" hidden="1" x14ac:dyDescent="0.25">
      <c r="C57" s="1" t="s">
        <v>15</v>
      </c>
      <c r="D57" s="10">
        <v>101090</v>
      </c>
      <c r="E57" s="14" t="s">
        <v>4</v>
      </c>
      <c r="F57" s="1" t="s">
        <v>9</v>
      </c>
      <c r="G57" s="15">
        <v>0</v>
      </c>
      <c r="H57" s="15"/>
      <c r="I57" s="15"/>
      <c r="J57" s="1">
        <v>181.66</v>
      </c>
      <c r="K57" s="1">
        <v>28.15</v>
      </c>
      <c r="L57" s="1">
        <f t="shared" si="3"/>
        <v>0</v>
      </c>
    </row>
    <row r="58" spans="3:12" hidden="1" x14ac:dyDescent="0.25">
      <c r="C58" s="1" t="s">
        <v>15</v>
      </c>
      <c r="D58" s="10"/>
      <c r="E58" s="14" t="s">
        <v>48</v>
      </c>
      <c r="F58" s="1" t="s">
        <v>9</v>
      </c>
      <c r="G58" s="15">
        <v>0</v>
      </c>
      <c r="H58" s="15"/>
      <c r="I58" s="15"/>
      <c r="J58" s="1">
        <v>107.9</v>
      </c>
      <c r="K58" s="1">
        <v>41.45</v>
      </c>
      <c r="L58" s="1">
        <f t="shared" si="3"/>
        <v>0</v>
      </c>
    </row>
    <row r="59" spans="3:12" hidden="1" x14ac:dyDescent="0.25">
      <c r="C59" s="113" t="s">
        <v>49</v>
      </c>
      <c r="D59" s="114"/>
      <c r="E59" s="114"/>
      <c r="F59" s="114"/>
      <c r="G59" s="114"/>
      <c r="H59" s="114"/>
      <c r="I59" s="114"/>
      <c r="J59" s="114"/>
      <c r="K59" s="114"/>
      <c r="L59" s="115"/>
    </row>
    <row r="60" spans="3:12" hidden="1" x14ac:dyDescent="0.25">
      <c r="C60" s="1" t="s">
        <v>15</v>
      </c>
      <c r="D60" s="10" t="s">
        <v>50</v>
      </c>
      <c r="E60" s="14" t="s">
        <v>51</v>
      </c>
      <c r="F60" s="1" t="s">
        <v>9</v>
      </c>
      <c r="G60" s="1">
        <v>1000</v>
      </c>
      <c r="H60" s="1"/>
      <c r="I60" s="1"/>
      <c r="J60" s="1">
        <v>2.72</v>
      </c>
      <c r="K60" s="1"/>
      <c r="L60" s="1">
        <f>G60*(J60+K60)</f>
        <v>2720</v>
      </c>
    </row>
    <row r="61" spans="3:12" hidden="1" x14ac:dyDescent="0.25">
      <c r="C61" s="1" t="s">
        <v>15</v>
      </c>
      <c r="D61" s="10" t="s">
        <v>52</v>
      </c>
      <c r="E61" s="14" t="s">
        <v>53</v>
      </c>
      <c r="F61" s="1" t="s">
        <v>54</v>
      </c>
      <c r="G61" s="1">
        <v>1000</v>
      </c>
      <c r="H61" s="1"/>
      <c r="I61" s="1"/>
      <c r="J61" s="1">
        <v>8.82</v>
      </c>
      <c r="K61" s="1"/>
      <c r="L61" s="1">
        <f>G61*(J61+K61)</f>
        <v>8820</v>
      </c>
    </row>
    <row r="62" spans="3:12" hidden="1" x14ac:dyDescent="0.25">
      <c r="C62" s="1"/>
      <c r="D62" s="10"/>
      <c r="E62" s="14"/>
      <c r="F62" s="1"/>
      <c r="G62" s="1"/>
      <c r="H62" s="1"/>
      <c r="I62" s="1"/>
      <c r="J62" s="1"/>
      <c r="K62" s="1"/>
      <c r="L62" s="1"/>
    </row>
    <row r="63" spans="3:12" hidden="1" x14ac:dyDescent="0.25">
      <c r="C63" s="1"/>
      <c r="D63" s="10"/>
      <c r="E63" s="14"/>
      <c r="F63" s="1"/>
      <c r="G63" s="1"/>
      <c r="H63" s="1"/>
      <c r="I63" s="1"/>
      <c r="J63" s="1"/>
      <c r="K63" s="1"/>
      <c r="L63" s="1"/>
    </row>
    <row r="64" spans="3:12" hidden="1" x14ac:dyDescent="0.25">
      <c r="C64" s="113" t="s">
        <v>38</v>
      </c>
      <c r="D64" s="114"/>
      <c r="E64" s="114"/>
      <c r="F64" s="114"/>
      <c r="G64" s="114"/>
      <c r="H64" s="114"/>
      <c r="I64" s="114"/>
      <c r="J64" s="114"/>
      <c r="K64" s="114"/>
      <c r="L64" s="115"/>
    </row>
    <row r="65" spans="3:13" hidden="1" x14ac:dyDescent="0.25">
      <c r="C65" s="1" t="s">
        <v>17</v>
      </c>
      <c r="D65" s="10" t="s">
        <v>34</v>
      </c>
      <c r="E65" s="14" t="s">
        <v>35</v>
      </c>
      <c r="F65" s="1" t="s">
        <v>26</v>
      </c>
      <c r="G65" s="1">
        <f>(80*6)</f>
        <v>480</v>
      </c>
      <c r="H65" s="1"/>
      <c r="I65" s="1"/>
      <c r="J65" s="1"/>
      <c r="K65" s="1">
        <v>162.16999999999999</v>
      </c>
      <c r="L65" s="1">
        <f>G65*(J65+K65)</f>
        <v>77841.599999999991</v>
      </c>
    </row>
    <row r="66" spans="3:13" hidden="1" x14ac:dyDescent="0.25">
      <c r="C66" s="1" t="s">
        <v>17</v>
      </c>
      <c r="D66" s="10" t="s">
        <v>36</v>
      </c>
      <c r="E66" s="14" t="s">
        <v>37</v>
      </c>
      <c r="F66" s="1" t="s">
        <v>26</v>
      </c>
      <c r="G66" s="1">
        <f>220*6</f>
        <v>1320</v>
      </c>
      <c r="H66" s="1"/>
      <c r="I66" s="1"/>
      <c r="J66" s="1"/>
      <c r="K66" s="1">
        <v>71.67</v>
      </c>
      <c r="L66" s="1">
        <f>G66*(J66+K66)</f>
        <v>94604.400000000009</v>
      </c>
    </row>
    <row r="67" spans="3:13" hidden="1" x14ac:dyDescent="0.25">
      <c r="C67" s="1" t="s">
        <v>17</v>
      </c>
      <c r="D67" s="10" t="s">
        <v>55</v>
      </c>
      <c r="E67" s="14" t="s">
        <v>56</v>
      </c>
      <c r="F67" s="1" t="s">
        <v>26</v>
      </c>
      <c r="G67" s="1">
        <f>220*6</f>
        <v>1320</v>
      </c>
      <c r="H67" s="1"/>
      <c r="I67" s="1"/>
      <c r="J67" s="1"/>
      <c r="K67" s="1">
        <v>59.45</v>
      </c>
      <c r="L67" s="1">
        <f>G67*(J67+K67)</f>
        <v>78474</v>
      </c>
    </row>
    <row r="68" spans="3:13" hidden="1" x14ac:dyDescent="0.25">
      <c r="C68" s="96"/>
      <c r="D68" s="97"/>
      <c r="E68" s="97"/>
      <c r="F68" s="97"/>
      <c r="G68" s="97"/>
      <c r="H68" s="97"/>
      <c r="I68" s="97"/>
      <c r="J68" s="97"/>
      <c r="K68" s="97"/>
      <c r="L68" s="98"/>
    </row>
    <row r="69" spans="3:13" hidden="1" x14ac:dyDescent="0.25">
      <c r="C69" s="99" t="s">
        <v>28</v>
      </c>
      <c r="D69" s="100"/>
      <c r="E69" s="100"/>
      <c r="F69" s="100"/>
      <c r="G69" s="100"/>
      <c r="H69" s="100"/>
      <c r="I69" s="100"/>
      <c r="J69" s="100"/>
      <c r="K69" s="112"/>
      <c r="L69" s="61">
        <f>SUM(L40:L67)</f>
        <v>2040651.9993276002</v>
      </c>
    </row>
    <row r="70" spans="3:13" hidden="1" x14ac:dyDescent="0.25">
      <c r="C70" s="121" t="s">
        <v>29</v>
      </c>
      <c r="D70" s="121"/>
      <c r="E70" s="121"/>
      <c r="F70" s="121"/>
      <c r="G70" s="121"/>
      <c r="H70" s="121"/>
      <c r="I70" s="121"/>
      <c r="J70" s="121"/>
      <c r="K70" s="4">
        <v>0.25</v>
      </c>
      <c r="L70" s="61">
        <f>L69*1.25</f>
        <v>2550814.9991595005</v>
      </c>
    </row>
    <row r="71" spans="3:13" hidden="1" x14ac:dyDescent="0.25"/>
    <row r="72" spans="3:13" x14ac:dyDescent="0.25">
      <c r="J72" s="122" t="s">
        <v>134</v>
      </c>
      <c r="K72" s="122"/>
      <c r="L72" s="66">
        <f>L30/1024</f>
        <v>2233.1663915421623</v>
      </c>
    </row>
    <row r="73" spans="3:13" hidden="1" x14ac:dyDescent="0.25">
      <c r="C73" s="123" t="s">
        <v>113</v>
      </c>
      <c r="D73" s="124"/>
      <c r="E73" s="124"/>
      <c r="F73" s="124"/>
      <c r="G73" s="124"/>
      <c r="H73" s="124"/>
      <c r="I73" s="124"/>
    </row>
    <row r="74" spans="3:13" hidden="1" x14ac:dyDescent="0.25">
      <c r="C74" s="64" t="s">
        <v>69</v>
      </c>
      <c r="D74" s="49" t="s">
        <v>70</v>
      </c>
      <c r="E74" s="63" t="s">
        <v>71</v>
      </c>
      <c r="F74" s="64" t="s">
        <v>5</v>
      </c>
      <c r="G74" s="64" t="s">
        <v>72</v>
      </c>
      <c r="H74" s="64" t="s">
        <v>73</v>
      </c>
      <c r="I74" s="64" t="s">
        <v>74</v>
      </c>
    </row>
    <row r="75" spans="3:13" ht="30" hidden="1" x14ac:dyDescent="0.25">
      <c r="C75" s="125" t="s">
        <v>45</v>
      </c>
      <c r="D75" s="125"/>
      <c r="E75" s="14" t="s">
        <v>75</v>
      </c>
      <c r="F75" s="1" t="s">
        <v>85</v>
      </c>
      <c r="G75" s="1" t="s">
        <v>81</v>
      </c>
      <c r="H75" s="1"/>
      <c r="I75" s="37">
        <f>SUM(I76:I79)</f>
        <v>179.4375</v>
      </c>
    </row>
    <row r="76" spans="3:13" hidden="1" x14ac:dyDescent="0.25">
      <c r="C76" s="1" t="s">
        <v>15</v>
      </c>
      <c r="D76" s="10" t="s">
        <v>76</v>
      </c>
      <c r="E76" s="14" t="s">
        <v>80</v>
      </c>
      <c r="F76" s="1" t="s">
        <v>26</v>
      </c>
      <c r="G76" s="1">
        <v>2</v>
      </c>
      <c r="H76" s="1">
        <v>27.16</v>
      </c>
      <c r="I76" s="1">
        <f>G76*H76</f>
        <v>54.32</v>
      </c>
    </row>
    <row r="77" spans="3:13" hidden="1" x14ac:dyDescent="0.25">
      <c r="C77" s="1" t="s">
        <v>15</v>
      </c>
      <c r="D77" s="10" t="s">
        <v>77</v>
      </c>
      <c r="E77" s="14" t="s">
        <v>82</v>
      </c>
      <c r="F77" s="1" t="s">
        <v>86</v>
      </c>
      <c r="G77" s="1">
        <v>1.55</v>
      </c>
      <c r="H77" s="1">
        <v>28.27</v>
      </c>
      <c r="I77" s="1">
        <f>G77*H77</f>
        <v>43.8185</v>
      </c>
    </row>
    <row r="78" spans="3:13" hidden="1" x14ac:dyDescent="0.25">
      <c r="C78" s="1" t="s">
        <v>15</v>
      </c>
      <c r="D78" s="10" t="s">
        <v>78</v>
      </c>
      <c r="E78" s="14" t="s">
        <v>83</v>
      </c>
      <c r="F78" s="1" t="s">
        <v>87</v>
      </c>
      <c r="G78" s="1">
        <v>0.45</v>
      </c>
      <c r="H78" s="1">
        <v>27.42</v>
      </c>
      <c r="I78" s="1">
        <f>G78*H78</f>
        <v>12.339</v>
      </c>
      <c r="M78" s="16"/>
    </row>
    <row r="79" spans="3:13" ht="45" hidden="1" x14ac:dyDescent="0.25">
      <c r="C79" s="1" t="s">
        <v>15</v>
      </c>
      <c r="D79" s="10" t="s">
        <v>79</v>
      </c>
      <c r="E79" s="14" t="s">
        <v>84</v>
      </c>
      <c r="F79" s="1" t="s">
        <v>86</v>
      </c>
      <c r="G79" s="1">
        <v>1</v>
      </c>
      <c r="H79" s="1">
        <v>68.959999999999994</v>
      </c>
      <c r="I79" s="1">
        <f>G79*H79</f>
        <v>68.959999999999994</v>
      </c>
      <c r="M79" s="16"/>
    </row>
    <row r="80" spans="3:13" hidden="1" x14ac:dyDescent="0.25">
      <c r="C80" s="38"/>
      <c r="D80" s="39"/>
      <c r="E80" s="58"/>
      <c r="F80" s="40"/>
      <c r="G80" s="40"/>
      <c r="H80" s="40"/>
      <c r="I80" s="41"/>
    </row>
    <row r="81" spans="3:13" hidden="1" x14ac:dyDescent="0.25">
      <c r="C81" s="42"/>
      <c r="D81" s="43"/>
      <c r="E81" s="59"/>
      <c r="F81" s="23"/>
      <c r="G81" s="23"/>
      <c r="H81" s="23"/>
      <c r="I81" s="44"/>
      <c r="M81" s="16"/>
    </row>
    <row r="82" spans="3:13" hidden="1" x14ac:dyDescent="0.25">
      <c r="C82" s="42"/>
      <c r="D82" s="43"/>
      <c r="E82" s="59"/>
      <c r="F82" s="23"/>
      <c r="G82" s="23"/>
      <c r="H82" s="23"/>
      <c r="I82" s="44"/>
    </row>
    <row r="83" spans="3:13" hidden="1" x14ac:dyDescent="0.25">
      <c r="C83" s="42"/>
      <c r="D83" s="43"/>
      <c r="E83" s="59"/>
      <c r="F83" s="23"/>
      <c r="G83" s="23"/>
      <c r="H83" s="23"/>
      <c r="I83" s="44"/>
    </row>
    <row r="84" spans="3:13" hidden="1" x14ac:dyDescent="0.25">
      <c r="C84" s="42"/>
      <c r="D84" s="43"/>
      <c r="E84" s="59"/>
      <c r="F84" s="23"/>
      <c r="G84" s="23"/>
      <c r="H84" s="23"/>
      <c r="I84" s="44"/>
    </row>
    <row r="85" spans="3:13" hidden="1" x14ac:dyDescent="0.25">
      <c r="C85" s="42"/>
      <c r="D85" s="43"/>
      <c r="E85" s="59"/>
      <c r="F85" s="23"/>
      <c r="G85" s="23"/>
      <c r="H85" s="23"/>
      <c r="I85" s="44"/>
    </row>
    <row r="86" spans="3:13" hidden="1" x14ac:dyDescent="0.25">
      <c r="C86" s="45"/>
      <c r="D86" s="46"/>
      <c r="E86" s="60"/>
      <c r="F86" s="47"/>
      <c r="G86" s="47"/>
      <c r="H86" s="47"/>
      <c r="I86" s="48"/>
    </row>
    <row r="87" spans="3:13" hidden="1" x14ac:dyDescent="0.25"/>
    <row r="88" spans="3:13" hidden="1" x14ac:dyDescent="0.25"/>
  </sheetData>
  <mergeCells count="22">
    <mergeCell ref="C70:J70"/>
    <mergeCell ref="J72:K72"/>
    <mergeCell ref="C73:I73"/>
    <mergeCell ref="C75:D75"/>
    <mergeCell ref="C49:L49"/>
    <mergeCell ref="C52:L52"/>
    <mergeCell ref="C59:L59"/>
    <mergeCell ref="C64:L64"/>
    <mergeCell ref="C68:L68"/>
    <mergeCell ref="C69:K69"/>
    <mergeCell ref="C42:L42"/>
    <mergeCell ref="B3:H4"/>
    <mergeCell ref="B5:H6"/>
    <mergeCell ref="B8:E8"/>
    <mergeCell ref="B14:C14"/>
    <mergeCell ref="B23:C23"/>
    <mergeCell ref="B25:C25"/>
    <mergeCell ref="C29:L29"/>
    <mergeCell ref="C30:K30"/>
    <mergeCell ref="C31:L31"/>
    <mergeCell ref="C37:L37"/>
    <mergeCell ref="C39:L39"/>
  </mergeCells>
  <phoneticPr fontId="3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2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D3CA2-0A84-448C-B3B9-07A5FD323FC2}">
  <sheetPr>
    <pageSetUpPr fitToPage="1"/>
  </sheetPr>
  <dimension ref="B3:M87"/>
  <sheetViews>
    <sheetView zoomScale="80" zoomScaleNormal="80" workbookViewId="0">
      <selection activeCell="D10" sqref="D10"/>
    </sheetView>
  </sheetViews>
  <sheetFormatPr defaultRowHeight="15" x14ac:dyDescent="0.25"/>
  <cols>
    <col min="3" max="3" width="27.7109375" style="3" bestFit="1" customWidth="1"/>
    <col min="4" max="4" width="15.85546875" style="12" customWidth="1"/>
    <col min="5" max="5" width="98.42578125" style="53" customWidth="1"/>
    <col min="6" max="6" width="9.5703125" style="3" customWidth="1"/>
    <col min="7" max="7" width="12.85546875" style="3" bestFit="1" customWidth="1"/>
    <col min="8" max="8" width="14.42578125" style="3" customWidth="1"/>
    <col min="9" max="9" width="12.7109375" style="3" customWidth="1"/>
    <col min="10" max="10" width="9.28515625" style="3" hidden="1" customWidth="1"/>
    <col min="11" max="11" width="11.5703125" style="3" hidden="1" customWidth="1"/>
    <col min="12" max="12" width="24" style="3" bestFit="1" customWidth="1"/>
    <col min="13" max="13" width="16" customWidth="1"/>
  </cols>
  <sheetData>
    <row r="3" spans="2:13" ht="30" x14ac:dyDescent="0.25">
      <c r="B3" s="91" t="s">
        <v>110</v>
      </c>
      <c r="C3" s="91"/>
      <c r="D3" s="91"/>
      <c r="E3" s="91"/>
      <c r="F3" s="91"/>
      <c r="G3" s="91"/>
      <c r="H3" s="91"/>
      <c r="I3" s="32" t="s">
        <v>107</v>
      </c>
      <c r="J3" s="32"/>
      <c r="K3" s="32"/>
      <c r="L3" s="63" t="s">
        <v>111</v>
      </c>
    </row>
    <row r="4" spans="2:13" x14ac:dyDescent="0.25">
      <c r="B4" s="91"/>
      <c r="C4" s="91"/>
      <c r="D4" s="91"/>
      <c r="E4" s="91"/>
      <c r="F4" s="91"/>
      <c r="G4" s="91"/>
      <c r="H4" s="91"/>
      <c r="I4" s="32" t="s">
        <v>109</v>
      </c>
      <c r="J4" s="32"/>
      <c r="K4" s="32"/>
      <c r="L4" s="36">
        <v>45444</v>
      </c>
    </row>
    <row r="5" spans="2:13" ht="30" customHeight="1" x14ac:dyDescent="0.25">
      <c r="B5" s="116" t="s">
        <v>158</v>
      </c>
      <c r="C5" s="92"/>
      <c r="D5" s="92"/>
      <c r="E5" s="92"/>
      <c r="F5" s="92"/>
      <c r="G5" s="92"/>
      <c r="H5" s="92"/>
      <c r="I5" s="32" t="s">
        <v>106</v>
      </c>
      <c r="J5" s="32"/>
      <c r="K5" s="32"/>
      <c r="L5" s="35">
        <v>0.24629999999999999</v>
      </c>
    </row>
    <row r="6" spans="2:13" ht="36" customHeight="1" x14ac:dyDescent="0.25">
      <c r="B6" s="92"/>
      <c r="C6" s="92"/>
      <c r="D6" s="92"/>
      <c r="E6" s="92"/>
      <c r="F6" s="92"/>
      <c r="G6" s="92"/>
      <c r="H6" s="92"/>
      <c r="I6" s="27" t="s">
        <v>105</v>
      </c>
      <c r="J6" s="27"/>
      <c r="K6" s="27"/>
      <c r="L6" s="35">
        <v>0.20349999999999999</v>
      </c>
    </row>
    <row r="7" spans="2:13" ht="45" x14ac:dyDescent="0.25">
      <c r="B7" s="62" t="s">
        <v>102</v>
      </c>
      <c r="C7" s="62" t="s">
        <v>90</v>
      </c>
      <c r="D7" s="33" t="s">
        <v>103</v>
      </c>
      <c r="E7" s="34" t="s">
        <v>62</v>
      </c>
      <c r="F7" s="62" t="s">
        <v>5</v>
      </c>
      <c r="G7" s="62" t="s">
        <v>6</v>
      </c>
      <c r="H7" s="34" t="s">
        <v>89</v>
      </c>
      <c r="I7" s="34" t="s">
        <v>104</v>
      </c>
      <c r="J7" s="62" t="s">
        <v>7</v>
      </c>
      <c r="K7" s="62" t="s">
        <v>8</v>
      </c>
      <c r="L7" s="34" t="s">
        <v>108</v>
      </c>
    </row>
    <row r="8" spans="2:13" x14ac:dyDescent="0.25">
      <c r="B8" s="93" t="s">
        <v>131</v>
      </c>
      <c r="C8" s="94"/>
      <c r="D8" s="94"/>
      <c r="E8" s="94"/>
      <c r="F8" s="26"/>
      <c r="G8" s="26"/>
      <c r="H8" s="26"/>
      <c r="I8" s="26"/>
      <c r="J8" s="26"/>
      <c r="K8" s="26"/>
      <c r="L8" s="27">
        <f>SUM(L9:L13)</f>
        <v>11018.650126931199</v>
      </c>
    </row>
    <row r="9" spans="2:13" ht="30" x14ac:dyDescent="0.25">
      <c r="B9" s="24" t="s">
        <v>91</v>
      </c>
      <c r="C9" s="17" t="s">
        <v>15</v>
      </c>
      <c r="D9" s="18" t="s">
        <v>43</v>
      </c>
      <c r="E9" s="50" t="s">
        <v>68</v>
      </c>
      <c r="F9" s="19" t="s">
        <v>9</v>
      </c>
      <c r="G9" s="19">
        <v>4</v>
      </c>
      <c r="H9" s="67">
        <v>470.87</v>
      </c>
      <c r="I9" s="19">
        <f>H9*(1+$L$6)</f>
        <v>566.69204500000001</v>
      </c>
      <c r="J9" s="19">
        <v>281.49</v>
      </c>
      <c r="K9" s="21">
        <v>36.94</v>
      </c>
      <c r="L9" s="17">
        <f>G9*I9</f>
        <v>2266.76818</v>
      </c>
    </row>
    <row r="10" spans="2:13" ht="45" x14ac:dyDescent="0.25">
      <c r="B10" s="24" t="s">
        <v>92</v>
      </c>
      <c r="C10" s="17"/>
      <c r="D10" s="18" t="s">
        <v>115</v>
      </c>
      <c r="E10" s="50" t="s">
        <v>116</v>
      </c>
      <c r="F10" s="17" t="s">
        <v>10</v>
      </c>
      <c r="G10" s="17">
        <f>((0.9*2.2)*((1024/3)))*0.2*1.4</f>
        <v>189.23519999999999</v>
      </c>
      <c r="H10" s="19">
        <v>10.210000000000001</v>
      </c>
      <c r="I10" s="19">
        <f>H10*(1+$L$6)</f>
        <v>12.287735000000001</v>
      </c>
      <c r="J10" s="17">
        <f>2.93+5.54</f>
        <v>8.4700000000000006</v>
      </c>
      <c r="K10" s="22">
        <v>3.35</v>
      </c>
      <c r="L10" s="17">
        <f>G10*I10</f>
        <v>2325.271990272</v>
      </c>
    </row>
    <row r="11" spans="2:13" ht="45" x14ac:dyDescent="0.25">
      <c r="B11" s="24" t="s">
        <v>93</v>
      </c>
      <c r="C11" s="17"/>
      <c r="D11" s="18" t="s">
        <v>117</v>
      </c>
      <c r="E11" s="50" t="s">
        <v>118</v>
      </c>
      <c r="F11" s="17" t="s">
        <v>10</v>
      </c>
      <c r="G11" s="17">
        <f>G10</f>
        <v>189.23519999999999</v>
      </c>
      <c r="H11" s="19">
        <v>8.91</v>
      </c>
      <c r="I11" s="19">
        <f>H11*(1+$L$6)</f>
        <v>10.723185000000001</v>
      </c>
      <c r="J11" s="17">
        <f>3.73+3.77</f>
        <v>7.5</v>
      </c>
      <c r="K11" s="22">
        <v>1.04</v>
      </c>
      <c r="L11" s="17">
        <f>G11*I11</f>
        <v>2029.204058112</v>
      </c>
    </row>
    <row r="12" spans="2:13" ht="45" x14ac:dyDescent="0.25">
      <c r="B12" s="24" t="s">
        <v>94</v>
      </c>
      <c r="C12" s="17"/>
      <c r="D12" s="18" t="s">
        <v>119</v>
      </c>
      <c r="E12" s="20" t="s">
        <v>88</v>
      </c>
      <c r="F12" s="17" t="s">
        <v>26</v>
      </c>
      <c r="G12" s="17">
        <f>(G11/168)*8*1.15</f>
        <v>10.362879999999997</v>
      </c>
      <c r="H12" s="19">
        <v>352.59</v>
      </c>
      <c r="I12" s="19">
        <f>H12*(1+$L$6)</f>
        <v>424.34206499999999</v>
      </c>
      <c r="J12" s="17">
        <f>207.86+130.82</f>
        <v>338.68</v>
      </c>
      <c r="K12" s="22">
        <v>27.81</v>
      </c>
      <c r="L12" s="17">
        <f>G12*I12</f>
        <v>4397.4058985471984</v>
      </c>
    </row>
    <row r="13" spans="2:13" x14ac:dyDescent="0.25">
      <c r="B13" s="24" t="s">
        <v>95</v>
      </c>
      <c r="C13" s="17"/>
      <c r="D13" s="18"/>
      <c r="E13" s="20"/>
      <c r="F13" s="17"/>
      <c r="G13" s="17"/>
      <c r="H13" s="19">
        <f>J13+K13</f>
        <v>0</v>
      </c>
      <c r="I13" s="19"/>
      <c r="J13" s="17"/>
      <c r="K13" s="22"/>
      <c r="L13" s="17"/>
    </row>
    <row r="14" spans="2:13" x14ac:dyDescent="0.25">
      <c r="B14" s="117" t="s">
        <v>120</v>
      </c>
      <c r="C14" s="118"/>
      <c r="D14" s="26"/>
      <c r="E14" s="51"/>
      <c r="F14" s="26"/>
      <c r="G14" s="26"/>
      <c r="H14" s="19">
        <f>J14+K14</f>
        <v>0</v>
      </c>
      <c r="I14" s="26"/>
      <c r="J14" s="26"/>
      <c r="K14" s="26"/>
      <c r="L14" s="27">
        <f>SUM(L15:L21)</f>
        <v>1309284.6600887869</v>
      </c>
    </row>
    <row r="15" spans="2:13" ht="30" x14ac:dyDescent="0.25">
      <c r="B15" s="24" t="s">
        <v>96</v>
      </c>
      <c r="C15" s="17" t="s">
        <v>15</v>
      </c>
      <c r="D15" s="18" t="s">
        <v>138</v>
      </c>
      <c r="E15" s="20" t="s">
        <v>139</v>
      </c>
      <c r="F15" s="17" t="s">
        <v>9</v>
      </c>
      <c r="G15" s="17">
        <f>(2.2*0.92)*(1024/3)*1.3</f>
        <v>898.11626666666677</v>
      </c>
      <c r="H15" s="19">
        <v>164.45</v>
      </c>
      <c r="I15" s="19">
        <f t="shared" ref="I15:I21" si="0">H15*(1+$L$6)</f>
        <v>197.91557499999999</v>
      </c>
      <c r="J15" s="17">
        <f>58.17+0.11</f>
        <v>58.28</v>
      </c>
      <c r="K15" s="22">
        <v>24.53</v>
      </c>
      <c r="L15" s="17">
        <f t="shared" ref="L15:L21" si="1">G15*I15</f>
        <v>177751.19733418667</v>
      </c>
      <c r="M15" s="16"/>
    </row>
    <row r="16" spans="2:13" x14ac:dyDescent="0.25">
      <c r="B16" s="24" t="s">
        <v>97</v>
      </c>
      <c r="C16" s="17" t="s">
        <v>135</v>
      </c>
      <c r="D16" s="18" t="s">
        <v>136</v>
      </c>
      <c r="E16" s="65" t="s">
        <v>156</v>
      </c>
      <c r="F16" s="17" t="s">
        <v>127</v>
      </c>
      <c r="G16" s="17">
        <v>700</v>
      </c>
      <c r="H16" s="19">
        <v>950</v>
      </c>
      <c r="I16" s="19">
        <f t="shared" si="0"/>
        <v>1143.325</v>
      </c>
      <c r="J16" s="17"/>
      <c r="K16" s="22">
        <v>146.83000000000001</v>
      </c>
      <c r="L16" s="17">
        <f t="shared" si="1"/>
        <v>800327.5</v>
      </c>
      <c r="M16" t="s">
        <v>114</v>
      </c>
    </row>
    <row r="17" spans="2:13" x14ac:dyDescent="0.25">
      <c r="B17" s="24" t="s">
        <v>143</v>
      </c>
      <c r="C17" s="17" t="s">
        <v>15</v>
      </c>
      <c r="D17" s="18" t="s">
        <v>123</v>
      </c>
      <c r="E17" s="20" t="s">
        <v>124</v>
      </c>
      <c r="F17" s="17" t="s">
        <v>20</v>
      </c>
      <c r="G17" s="17">
        <f>(0.92*3)+(2.2*4)+(0.65*6)*1024*3*1.2</f>
        <v>14388.52</v>
      </c>
      <c r="H17" s="19">
        <v>0.49</v>
      </c>
      <c r="I17" s="19">
        <f t="shared" si="0"/>
        <v>0.58971499999999999</v>
      </c>
      <c r="J17" s="17">
        <v>0.09</v>
      </c>
      <c r="K17" s="22">
        <v>0.39</v>
      </c>
      <c r="L17" s="17">
        <f t="shared" si="1"/>
        <v>8485.1260717999994</v>
      </c>
      <c r="M17" t="s">
        <v>114</v>
      </c>
    </row>
    <row r="18" spans="2:13" ht="30" x14ac:dyDescent="0.25">
      <c r="B18" s="24" t="s">
        <v>144</v>
      </c>
      <c r="C18" s="17" t="s">
        <v>15</v>
      </c>
      <c r="D18" s="18" t="s">
        <v>140</v>
      </c>
      <c r="E18" s="20" t="s">
        <v>141</v>
      </c>
      <c r="F18" s="17" t="s">
        <v>9</v>
      </c>
      <c r="G18" s="17">
        <f>(((20*0.9*2.2)+(2.2*0.6*4*2))*(1024/(20*4)))/3</f>
        <v>214.01600000000005</v>
      </c>
      <c r="H18" s="19">
        <v>249.9</v>
      </c>
      <c r="I18" s="19">
        <f t="shared" si="0"/>
        <v>300.75465000000003</v>
      </c>
      <c r="J18" s="17">
        <f>6.13+8.13</f>
        <v>14.260000000000002</v>
      </c>
      <c r="K18" s="22">
        <v>7.19</v>
      </c>
      <c r="L18" s="17">
        <f t="shared" si="1"/>
        <v>64366.307174400019</v>
      </c>
      <c r="M18" t="s">
        <v>114</v>
      </c>
    </row>
    <row r="19" spans="2:13" ht="30" x14ac:dyDescent="0.25">
      <c r="B19" s="24" t="s">
        <v>149</v>
      </c>
      <c r="C19" s="17" t="s">
        <v>15</v>
      </c>
      <c r="D19" s="18" t="s">
        <v>153</v>
      </c>
      <c r="E19" s="20" t="s">
        <v>154</v>
      </c>
      <c r="F19" s="17" t="s">
        <v>54</v>
      </c>
      <c r="G19" s="17">
        <f>(0.8*4)*2.5*(1024/60)*3</f>
        <v>409.6</v>
      </c>
      <c r="H19" s="19">
        <v>249.9</v>
      </c>
      <c r="I19" s="19">
        <f t="shared" si="0"/>
        <v>300.75465000000003</v>
      </c>
      <c r="J19" s="17">
        <f>6.13+8.13</f>
        <v>14.260000000000002</v>
      </c>
      <c r="K19" s="22">
        <v>7.19</v>
      </c>
      <c r="L19" s="17">
        <f t="shared" si="1"/>
        <v>123189.10464000002</v>
      </c>
      <c r="M19" t="s">
        <v>114</v>
      </c>
    </row>
    <row r="20" spans="2:13" ht="30" x14ac:dyDescent="0.25">
      <c r="B20" s="24"/>
      <c r="C20" s="17" t="s">
        <v>15</v>
      </c>
      <c r="D20" s="18">
        <v>99235</v>
      </c>
      <c r="E20" s="20" t="s">
        <v>155</v>
      </c>
      <c r="F20" s="17" t="s">
        <v>10</v>
      </c>
      <c r="G20" s="17">
        <f>(0.8*4)*2.5*0.15*(1024/60)*6</f>
        <v>122.88</v>
      </c>
      <c r="H20" s="19">
        <v>564.23</v>
      </c>
      <c r="I20" s="19">
        <f t="shared" si="0"/>
        <v>679.05080500000008</v>
      </c>
      <c r="J20" s="17"/>
      <c r="K20" s="22"/>
      <c r="L20" s="17">
        <f t="shared" si="1"/>
        <v>83441.762918400011</v>
      </c>
    </row>
    <row r="21" spans="2:13" ht="15" customHeight="1" x14ac:dyDescent="0.25">
      <c r="B21" s="24" t="s">
        <v>150</v>
      </c>
      <c r="C21" s="17" t="s">
        <v>15</v>
      </c>
      <c r="D21" s="18" t="s">
        <v>151</v>
      </c>
      <c r="E21" s="20" t="s">
        <v>152</v>
      </c>
      <c r="F21" s="17" t="s">
        <v>20</v>
      </c>
      <c r="G21" s="17">
        <f>0.9*1700</f>
        <v>1530</v>
      </c>
      <c r="H21" s="19">
        <v>28.09</v>
      </c>
      <c r="I21" s="19">
        <f t="shared" si="0"/>
        <v>33.806314999999998</v>
      </c>
      <c r="J21" s="17">
        <f>6.13+8.13</f>
        <v>14.260000000000002</v>
      </c>
      <c r="K21" s="22">
        <v>7.19</v>
      </c>
      <c r="L21" s="17">
        <f t="shared" si="1"/>
        <v>51723.661949999994</v>
      </c>
      <c r="M21" t="s">
        <v>114</v>
      </c>
    </row>
    <row r="22" spans="2:13" x14ac:dyDescent="0.25">
      <c r="B22" s="117" t="s">
        <v>128</v>
      </c>
      <c r="C22" s="119"/>
      <c r="D22" s="28"/>
      <c r="E22" s="52"/>
      <c r="F22" s="29"/>
      <c r="G22" s="29"/>
      <c r="H22" s="30"/>
      <c r="I22" s="30"/>
      <c r="J22" s="29"/>
      <c r="K22" s="31"/>
      <c r="L22" s="29">
        <f>SUM(L23:L23)</f>
        <v>15629.567123456005</v>
      </c>
    </row>
    <row r="23" spans="2:13" ht="16.5" customHeight="1" x14ac:dyDescent="0.25">
      <c r="B23" s="25" t="s">
        <v>99</v>
      </c>
      <c r="C23" s="17" t="s">
        <v>17</v>
      </c>
      <c r="D23" s="18" t="s">
        <v>66</v>
      </c>
      <c r="E23" s="20" t="s">
        <v>67</v>
      </c>
      <c r="F23" s="17" t="s">
        <v>9</v>
      </c>
      <c r="G23" s="17">
        <f>G15</f>
        <v>898.11626666666677</v>
      </c>
      <c r="H23" s="19">
        <v>14.46</v>
      </c>
      <c r="I23" s="19">
        <f>H23*(1+$L$6)</f>
        <v>17.402610000000003</v>
      </c>
      <c r="J23" s="17"/>
      <c r="K23" s="22">
        <v>13.14</v>
      </c>
      <c r="L23" s="17">
        <f>G23*I23</f>
        <v>15629.567123456005</v>
      </c>
    </row>
    <row r="24" spans="2:13" x14ac:dyDescent="0.25">
      <c r="B24" s="93" t="s">
        <v>129</v>
      </c>
      <c r="C24" s="94"/>
      <c r="D24" s="26"/>
      <c r="E24" s="51"/>
      <c r="F24" s="26"/>
      <c r="G24" s="26"/>
      <c r="H24" s="26"/>
      <c r="I24" s="26"/>
      <c r="J24" s="26"/>
      <c r="K24" s="26"/>
      <c r="L24" s="27">
        <f>SUM(L25:L27)</f>
        <v>303827.90759999998</v>
      </c>
    </row>
    <row r="25" spans="2:13" x14ac:dyDescent="0.25">
      <c r="B25" s="25" t="s">
        <v>100</v>
      </c>
      <c r="C25" s="1" t="s">
        <v>17</v>
      </c>
      <c r="D25" s="10" t="s">
        <v>34</v>
      </c>
      <c r="E25" s="14" t="s">
        <v>63</v>
      </c>
      <c r="F25" s="1" t="s">
        <v>26</v>
      </c>
      <c r="G25" s="1">
        <f>(80*6)</f>
        <v>480</v>
      </c>
      <c r="H25" s="19">
        <v>178.73</v>
      </c>
      <c r="I25" s="19">
        <f>H25*(1+$L$6)</f>
        <v>215.10155499999999</v>
      </c>
      <c r="J25" s="1"/>
      <c r="K25" s="1">
        <v>162.16999999999999</v>
      </c>
      <c r="L25" s="17">
        <f>G25*I25</f>
        <v>103248.74639999999</v>
      </c>
    </row>
    <row r="26" spans="2:13" x14ac:dyDescent="0.25">
      <c r="B26" s="25" t="s">
        <v>101</v>
      </c>
      <c r="C26" s="1" t="s">
        <v>17</v>
      </c>
      <c r="D26" s="10" t="s">
        <v>36</v>
      </c>
      <c r="E26" s="14" t="s">
        <v>64</v>
      </c>
      <c r="F26" s="1" t="s">
        <v>26</v>
      </c>
      <c r="G26" s="1">
        <f>220*6</f>
        <v>1320</v>
      </c>
      <c r="H26" s="19">
        <v>63.75</v>
      </c>
      <c r="I26" s="19">
        <f>H26*(1+$L$6)</f>
        <v>76.723124999999996</v>
      </c>
      <c r="J26" s="1"/>
      <c r="K26" s="1">
        <v>71.67</v>
      </c>
      <c r="L26" s="17">
        <f>G26*I26</f>
        <v>101274.52499999999</v>
      </c>
      <c r="M26" s="16"/>
    </row>
    <row r="27" spans="2:13" x14ac:dyDescent="0.25">
      <c r="B27" s="25" t="s">
        <v>130</v>
      </c>
      <c r="C27" s="1" t="s">
        <v>17</v>
      </c>
      <c r="D27" s="10" t="s">
        <v>55</v>
      </c>
      <c r="E27" s="14" t="s">
        <v>65</v>
      </c>
      <c r="F27" s="1" t="s">
        <v>26</v>
      </c>
      <c r="G27" s="1">
        <f>220*6</f>
        <v>1320</v>
      </c>
      <c r="H27" s="19">
        <v>62.51</v>
      </c>
      <c r="I27" s="19">
        <f>H27*(1+$L$6)</f>
        <v>75.230784999999997</v>
      </c>
      <c r="J27" s="1"/>
      <c r="K27" s="1">
        <v>59.45</v>
      </c>
      <c r="L27" s="17">
        <f>G27*I27</f>
        <v>99304.636199999994</v>
      </c>
      <c r="M27" s="16"/>
    </row>
    <row r="28" spans="2:13" ht="9" customHeight="1" x14ac:dyDescent="0.25">
      <c r="B28" s="25"/>
      <c r="C28" s="96"/>
      <c r="D28" s="97"/>
      <c r="E28" s="97"/>
      <c r="F28" s="97"/>
      <c r="G28" s="97"/>
      <c r="H28" s="97"/>
      <c r="I28" s="97"/>
      <c r="J28" s="97"/>
      <c r="K28" s="97"/>
      <c r="L28" s="98"/>
    </row>
    <row r="29" spans="2:13" x14ac:dyDescent="0.25">
      <c r="B29" s="25"/>
      <c r="C29" s="99" t="s">
        <v>112</v>
      </c>
      <c r="D29" s="100"/>
      <c r="E29" s="100"/>
      <c r="F29" s="100"/>
      <c r="G29" s="100"/>
      <c r="H29" s="100"/>
      <c r="I29" s="100"/>
      <c r="J29" s="100"/>
      <c r="K29" s="112"/>
      <c r="L29" s="61">
        <f>SUM(L24,L14,L8,L22)</f>
        <v>1639760.7849391741</v>
      </c>
      <c r="M29" s="3"/>
    </row>
    <row r="30" spans="2:13" ht="17.25" customHeight="1" x14ac:dyDescent="0.25">
      <c r="C30" s="101"/>
      <c r="D30" s="101"/>
      <c r="E30" s="101"/>
      <c r="F30" s="101"/>
      <c r="G30" s="101"/>
      <c r="H30" s="101"/>
      <c r="I30" s="101"/>
      <c r="J30" s="101"/>
      <c r="K30" s="101"/>
      <c r="L30" s="101"/>
    </row>
    <row r="31" spans="2:13" ht="36" hidden="1" customHeight="1" x14ac:dyDescent="0.25"/>
    <row r="32" spans="2:13" hidden="1" x14ac:dyDescent="0.25">
      <c r="E32" s="14" t="s">
        <v>58</v>
      </c>
      <c r="F32" s="1" t="e">
        <f>#REF!</f>
        <v>#REF!</v>
      </c>
      <c r="G32" s="1" t="s">
        <v>9</v>
      </c>
      <c r="H32" s="23"/>
      <c r="I32" s="23"/>
    </row>
    <row r="33" spans="3:12" hidden="1" x14ac:dyDescent="0.25">
      <c r="E33" s="14" t="s">
        <v>59</v>
      </c>
      <c r="F33" s="1" t="e">
        <f>#REF!</f>
        <v>#REF!</v>
      </c>
      <c r="G33" s="1" t="s">
        <v>9</v>
      </c>
      <c r="H33" s="23"/>
      <c r="I33" s="23"/>
    </row>
    <row r="34" spans="3:12" hidden="1" x14ac:dyDescent="0.25">
      <c r="E34" s="14" t="s">
        <v>60</v>
      </c>
      <c r="F34" s="1">
        <f>6507.1*1.1</f>
        <v>7157.8100000000013</v>
      </c>
      <c r="G34" s="1" t="s">
        <v>9</v>
      </c>
      <c r="H34" s="23"/>
      <c r="I34" s="23"/>
    </row>
    <row r="35" spans="3:12" hidden="1" x14ac:dyDescent="0.25"/>
    <row r="36" spans="3:12" hidden="1" x14ac:dyDescent="0.25">
      <c r="C36" s="120" t="s">
        <v>61</v>
      </c>
      <c r="D36" s="120"/>
      <c r="E36" s="120"/>
      <c r="F36" s="120"/>
      <c r="G36" s="120"/>
      <c r="H36" s="120"/>
      <c r="I36" s="120"/>
      <c r="J36" s="120"/>
      <c r="K36" s="120"/>
      <c r="L36" s="120"/>
    </row>
    <row r="37" spans="3:12" hidden="1" x14ac:dyDescent="0.25">
      <c r="C37" s="5" t="s">
        <v>13</v>
      </c>
      <c r="D37" s="9" t="s">
        <v>14</v>
      </c>
      <c r="E37" s="54" t="s">
        <v>0</v>
      </c>
      <c r="F37" s="5" t="s">
        <v>5</v>
      </c>
      <c r="G37" s="5" t="s">
        <v>6</v>
      </c>
      <c r="H37" s="5"/>
      <c r="I37" s="5"/>
      <c r="J37" s="5" t="s">
        <v>7</v>
      </c>
      <c r="K37" s="5" t="s">
        <v>8</v>
      </c>
      <c r="L37" s="5" t="s">
        <v>27</v>
      </c>
    </row>
    <row r="38" spans="3:12" hidden="1" x14ac:dyDescent="0.25">
      <c r="C38" s="113" t="s">
        <v>39</v>
      </c>
      <c r="D38" s="114"/>
      <c r="E38" s="114"/>
      <c r="F38" s="114"/>
      <c r="G38" s="114"/>
      <c r="H38" s="114"/>
      <c r="I38" s="114"/>
      <c r="J38" s="114"/>
      <c r="K38" s="114"/>
      <c r="L38" s="115"/>
    </row>
    <row r="39" spans="3:12" hidden="1" x14ac:dyDescent="0.25">
      <c r="C39" s="1" t="s">
        <v>15</v>
      </c>
      <c r="D39" s="10" t="s">
        <v>40</v>
      </c>
      <c r="E39" s="55" t="s">
        <v>41</v>
      </c>
      <c r="F39" s="2" t="s">
        <v>42</v>
      </c>
      <c r="G39" s="2">
        <v>2</v>
      </c>
      <c r="H39" s="2"/>
      <c r="I39" s="2"/>
      <c r="J39" s="2">
        <v>816.52</v>
      </c>
      <c r="K39" s="2">
        <v>3358.71</v>
      </c>
      <c r="L39" s="1">
        <f>G39*(J39+K39)</f>
        <v>8350.4599999999991</v>
      </c>
    </row>
    <row r="40" spans="3:12" hidden="1" x14ac:dyDescent="0.25">
      <c r="C40" s="6"/>
      <c r="D40" s="11"/>
      <c r="E40" s="56"/>
      <c r="F40" s="7"/>
      <c r="G40" s="7"/>
      <c r="H40" s="7"/>
      <c r="I40" s="7"/>
      <c r="J40" s="7"/>
      <c r="K40" s="7"/>
      <c r="L40" s="8"/>
    </row>
    <row r="41" spans="3:12" hidden="1" x14ac:dyDescent="0.25">
      <c r="C41" s="113" t="s">
        <v>30</v>
      </c>
      <c r="D41" s="114"/>
      <c r="E41" s="114"/>
      <c r="F41" s="114"/>
      <c r="G41" s="114"/>
      <c r="H41" s="114"/>
      <c r="I41" s="114"/>
      <c r="J41" s="114"/>
      <c r="K41" s="114"/>
      <c r="L41" s="115"/>
    </row>
    <row r="42" spans="3:12" hidden="1" x14ac:dyDescent="0.25">
      <c r="C42" s="1" t="s">
        <v>15</v>
      </c>
      <c r="D42" s="10" t="s">
        <v>43</v>
      </c>
      <c r="E42" s="57" t="s">
        <v>44</v>
      </c>
      <c r="F42" s="13" t="s">
        <v>9</v>
      </c>
      <c r="G42" s="13">
        <v>4</v>
      </c>
      <c r="H42" s="13"/>
      <c r="I42" s="13"/>
      <c r="J42" s="13">
        <v>281.49</v>
      </c>
      <c r="K42" s="13">
        <v>36.94</v>
      </c>
      <c r="L42" s="1">
        <f t="shared" ref="L42:L47" si="2">G42*(J42+K42)</f>
        <v>1273.72</v>
      </c>
    </row>
    <row r="43" spans="3:12" hidden="1" x14ac:dyDescent="0.25">
      <c r="C43" s="1" t="s">
        <v>15</v>
      </c>
      <c r="D43" s="10">
        <v>93208</v>
      </c>
      <c r="E43" s="57" t="s">
        <v>31</v>
      </c>
      <c r="F43" s="13" t="s">
        <v>9</v>
      </c>
      <c r="G43" s="13">
        <v>60</v>
      </c>
      <c r="H43" s="13"/>
      <c r="I43" s="13"/>
      <c r="J43" s="13">
        <v>816.52</v>
      </c>
      <c r="K43" s="13">
        <v>101.83</v>
      </c>
      <c r="L43" s="1">
        <f t="shared" si="2"/>
        <v>55101</v>
      </c>
    </row>
    <row r="44" spans="3:12" hidden="1" x14ac:dyDescent="0.25">
      <c r="C44" s="1" t="s">
        <v>15</v>
      </c>
      <c r="D44" s="10" t="s">
        <v>46</v>
      </c>
      <c r="E44" s="14" t="s">
        <v>57</v>
      </c>
      <c r="F44" s="1" t="s">
        <v>10</v>
      </c>
      <c r="G44" s="15">
        <f>((1815.04*0.25)+(6507.88*0.2))*1.1</f>
        <v>1930.8696000000002</v>
      </c>
      <c r="H44" s="15"/>
      <c r="I44" s="15"/>
      <c r="J44" s="1">
        <v>155.6</v>
      </c>
      <c r="K44" s="1">
        <v>43.79</v>
      </c>
      <c r="L44" s="1">
        <f t="shared" si="2"/>
        <v>384996.08954400005</v>
      </c>
    </row>
    <row r="45" spans="3:12" ht="30" hidden="1" x14ac:dyDescent="0.25">
      <c r="C45" s="1" t="s">
        <v>15</v>
      </c>
      <c r="D45" s="10" t="s">
        <v>45</v>
      </c>
      <c r="E45" s="14" t="s">
        <v>47</v>
      </c>
      <c r="F45" s="1" t="s">
        <v>10</v>
      </c>
      <c r="G45" s="15">
        <v>0</v>
      </c>
      <c r="H45" s="15"/>
      <c r="I45" s="15"/>
      <c r="J45" s="1"/>
      <c r="K45" s="1">
        <v>189.97</v>
      </c>
      <c r="L45" s="1">
        <f t="shared" si="2"/>
        <v>0</v>
      </c>
    </row>
    <row r="46" spans="3:12" hidden="1" x14ac:dyDescent="0.25">
      <c r="C46" s="1" t="s">
        <v>15</v>
      </c>
      <c r="D46" s="10">
        <v>100983</v>
      </c>
      <c r="E46" s="14" t="s">
        <v>1</v>
      </c>
      <c r="F46" s="1" t="s">
        <v>10</v>
      </c>
      <c r="G46" s="1">
        <f>(G44*1.4)</f>
        <v>2703.2174400000004</v>
      </c>
      <c r="H46" s="1"/>
      <c r="I46" s="1"/>
      <c r="J46" s="1">
        <v>8.4600000000000009</v>
      </c>
      <c r="K46" s="1"/>
      <c r="L46" s="1">
        <f t="shared" si="2"/>
        <v>22869.219542400006</v>
      </c>
    </row>
    <row r="47" spans="3:12" hidden="1" x14ac:dyDescent="0.25">
      <c r="C47" s="1" t="s">
        <v>15</v>
      </c>
      <c r="D47" s="10">
        <v>89876</v>
      </c>
      <c r="E47" s="14" t="s">
        <v>11</v>
      </c>
      <c r="F47" s="1" t="s">
        <v>12</v>
      </c>
      <c r="G47" s="1">
        <f>15*8*2</f>
        <v>240</v>
      </c>
      <c r="H47" s="1"/>
      <c r="I47" s="1"/>
      <c r="J47" s="1">
        <v>306.18</v>
      </c>
      <c r="K47" s="1"/>
      <c r="L47" s="1">
        <f t="shared" si="2"/>
        <v>73483.199999999997</v>
      </c>
    </row>
    <row r="48" spans="3:12" hidden="1" x14ac:dyDescent="0.25">
      <c r="C48" s="113" t="s">
        <v>32</v>
      </c>
      <c r="D48" s="114"/>
      <c r="E48" s="114"/>
      <c r="F48" s="114"/>
      <c r="G48" s="114"/>
      <c r="H48" s="114"/>
      <c r="I48" s="114"/>
      <c r="J48" s="114"/>
      <c r="K48" s="114"/>
      <c r="L48" s="115"/>
    </row>
    <row r="49" spans="3:12" hidden="1" x14ac:dyDescent="0.25">
      <c r="C49" s="1" t="s">
        <v>17</v>
      </c>
      <c r="D49" s="10" t="s">
        <v>16</v>
      </c>
      <c r="E49" s="14" t="s">
        <v>2</v>
      </c>
      <c r="F49" s="1" t="s">
        <v>9</v>
      </c>
      <c r="G49" s="1">
        <f>F34*1.1</f>
        <v>7873.5910000000022</v>
      </c>
      <c r="H49" s="1"/>
      <c r="I49" s="1"/>
      <c r="J49" s="1">
        <v>23.062000000000001</v>
      </c>
      <c r="K49" s="1">
        <v>0.49259999999999998</v>
      </c>
      <c r="L49" s="1">
        <f>G49*(J49+K49)</f>
        <v>185459.28656860004</v>
      </c>
    </row>
    <row r="50" spans="3:12" hidden="1" x14ac:dyDescent="0.25">
      <c r="C50" s="1" t="s">
        <v>17</v>
      </c>
      <c r="D50" s="10" t="s">
        <v>18</v>
      </c>
      <c r="E50" s="14" t="s">
        <v>23</v>
      </c>
      <c r="F50" s="1" t="s">
        <v>10</v>
      </c>
      <c r="G50" s="1">
        <f>G49*0.1*1.4</f>
        <v>1102.3027400000003</v>
      </c>
      <c r="H50" s="1"/>
      <c r="I50" s="1"/>
      <c r="J50" s="1">
        <v>204.92</v>
      </c>
      <c r="K50" s="1">
        <v>3.07</v>
      </c>
      <c r="L50" s="1">
        <f>G50*(J50+K50)</f>
        <v>229267.94689260004</v>
      </c>
    </row>
    <row r="51" spans="3:12" hidden="1" x14ac:dyDescent="0.25">
      <c r="C51" s="113" t="s">
        <v>33</v>
      </c>
      <c r="D51" s="114"/>
      <c r="E51" s="114"/>
      <c r="F51" s="114"/>
      <c r="G51" s="114"/>
      <c r="H51" s="114"/>
      <c r="I51" s="114"/>
      <c r="J51" s="114"/>
      <c r="K51" s="114"/>
      <c r="L51" s="115"/>
    </row>
    <row r="52" spans="3:12" hidden="1" x14ac:dyDescent="0.25">
      <c r="C52" s="1" t="s">
        <v>17</v>
      </c>
      <c r="D52" s="10" t="s">
        <v>19</v>
      </c>
      <c r="E52" s="14" t="s">
        <v>3</v>
      </c>
      <c r="F52" s="1" t="s">
        <v>20</v>
      </c>
      <c r="G52" s="1">
        <f>5052.1*1.1</f>
        <v>5557.31</v>
      </c>
      <c r="H52" s="1"/>
      <c r="I52" s="1"/>
      <c r="J52" s="1">
        <v>27.16</v>
      </c>
      <c r="K52" s="1">
        <v>5.65</v>
      </c>
      <c r="L52" s="1">
        <f t="shared" ref="L52:L57" si="3">G52*(J52+K52)</f>
        <v>182335.34110000002</v>
      </c>
    </row>
    <row r="53" spans="3:12" hidden="1" x14ac:dyDescent="0.25">
      <c r="C53" s="1" t="s">
        <v>17</v>
      </c>
      <c r="D53" s="10" t="s">
        <v>24</v>
      </c>
      <c r="E53" s="14" t="s">
        <v>25</v>
      </c>
      <c r="F53" s="1" t="s">
        <v>26</v>
      </c>
      <c r="G53" s="1">
        <v>200</v>
      </c>
      <c r="H53" s="1"/>
      <c r="I53" s="1"/>
      <c r="J53" s="1">
        <v>370.28</v>
      </c>
      <c r="K53" s="1"/>
      <c r="L53" s="1">
        <f t="shared" si="3"/>
        <v>74056</v>
      </c>
    </row>
    <row r="54" spans="3:12" hidden="1" x14ac:dyDescent="0.25">
      <c r="C54" s="1" t="s">
        <v>15</v>
      </c>
      <c r="D54" s="10">
        <v>92397</v>
      </c>
      <c r="E54" s="14" t="s">
        <v>21</v>
      </c>
      <c r="F54" s="1" t="s">
        <v>9</v>
      </c>
      <c r="G54" s="1">
        <f>(6507.54*1.1)-G55</f>
        <v>5954.054000000001</v>
      </c>
      <c r="H54" s="1"/>
      <c r="I54" s="1"/>
      <c r="J54" s="1">
        <v>66.02</v>
      </c>
      <c r="K54" s="1">
        <v>8.6999999999999993</v>
      </c>
      <c r="L54" s="1">
        <f t="shared" si="3"/>
        <v>444886.91488000005</v>
      </c>
    </row>
    <row r="55" spans="3:12" hidden="1" x14ac:dyDescent="0.25">
      <c r="C55" s="1" t="s">
        <v>15</v>
      </c>
      <c r="D55" s="10">
        <v>93679</v>
      </c>
      <c r="E55" s="14" t="s">
        <v>22</v>
      </c>
      <c r="F55" s="1" t="s">
        <v>9</v>
      </c>
      <c r="G55" s="1">
        <v>1204.24</v>
      </c>
      <c r="H55" s="1"/>
      <c r="I55" s="1"/>
      <c r="J55" s="1">
        <v>80.040000000000006</v>
      </c>
      <c r="K55" s="1">
        <f>16.1+0.28</f>
        <v>16.380000000000003</v>
      </c>
      <c r="L55" s="1">
        <f t="shared" si="3"/>
        <v>116112.82080000002</v>
      </c>
    </row>
    <row r="56" spans="3:12" hidden="1" x14ac:dyDescent="0.25">
      <c r="C56" s="1" t="s">
        <v>15</v>
      </c>
      <c r="D56" s="10">
        <v>101090</v>
      </c>
      <c r="E56" s="14" t="s">
        <v>4</v>
      </c>
      <c r="F56" s="1" t="s">
        <v>9</v>
      </c>
      <c r="G56" s="15">
        <v>0</v>
      </c>
      <c r="H56" s="15"/>
      <c r="I56" s="15"/>
      <c r="J56" s="1">
        <v>181.66</v>
      </c>
      <c r="K56" s="1">
        <v>28.15</v>
      </c>
      <c r="L56" s="1">
        <f t="shared" si="3"/>
        <v>0</v>
      </c>
    </row>
    <row r="57" spans="3:12" hidden="1" x14ac:dyDescent="0.25">
      <c r="C57" s="1" t="s">
        <v>15</v>
      </c>
      <c r="D57" s="10"/>
      <c r="E57" s="14" t="s">
        <v>48</v>
      </c>
      <c r="F57" s="1" t="s">
        <v>9</v>
      </c>
      <c r="G57" s="15">
        <v>0</v>
      </c>
      <c r="H57" s="15"/>
      <c r="I57" s="15"/>
      <c r="J57" s="1">
        <v>107.9</v>
      </c>
      <c r="K57" s="1">
        <v>41.45</v>
      </c>
      <c r="L57" s="1">
        <f t="shared" si="3"/>
        <v>0</v>
      </c>
    </row>
    <row r="58" spans="3:12" hidden="1" x14ac:dyDescent="0.25">
      <c r="C58" s="113" t="s">
        <v>49</v>
      </c>
      <c r="D58" s="114"/>
      <c r="E58" s="114"/>
      <c r="F58" s="114"/>
      <c r="G58" s="114"/>
      <c r="H58" s="114"/>
      <c r="I58" s="114"/>
      <c r="J58" s="114"/>
      <c r="K58" s="114"/>
      <c r="L58" s="115"/>
    </row>
    <row r="59" spans="3:12" hidden="1" x14ac:dyDescent="0.25">
      <c r="C59" s="1" t="s">
        <v>15</v>
      </c>
      <c r="D59" s="10" t="s">
        <v>50</v>
      </c>
      <c r="E59" s="14" t="s">
        <v>51</v>
      </c>
      <c r="F59" s="1" t="s">
        <v>9</v>
      </c>
      <c r="G59" s="1">
        <v>1000</v>
      </c>
      <c r="H59" s="1"/>
      <c r="I59" s="1"/>
      <c r="J59" s="1">
        <v>2.72</v>
      </c>
      <c r="K59" s="1"/>
      <c r="L59" s="1">
        <f>G59*(J59+K59)</f>
        <v>2720</v>
      </c>
    </row>
    <row r="60" spans="3:12" hidden="1" x14ac:dyDescent="0.25">
      <c r="C60" s="1" t="s">
        <v>15</v>
      </c>
      <c r="D60" s="10" t="s">
        <v>52</v>
      </c>
      <c r="E60" s="14" t="s">
        <v>53</v>
      </c>
      <c r="F60" s="1" t="s">
        <v>54</v>
      </c>
      <c r="G60" s="1">
        <v>1000</v>
      </c>
      <c r="H60" s="1"/>
      <c r="I60" s="1"/>
      <c r="J60" s="1">
        <v>8.82</v>
      </c>
      <c r="K60" s="1"/>
      <c r="L60" s="1">
        <f>G60*(J60+K60)</f>
        <v>8820</v>
      </c>
    </row>
    <row r="61" spans="3:12" hidden="1" x14ac:dyDescent="0.25">
      <c r="C61" s="1"/>
      <c r="D61" s="10"/>
      <c r="E61" s="14"/>
      <c r="F61" s="1"/>
      <c r="G61" s="1"/>
      <c r="H61" s="1"/>
      <c r="I61" s="1"/>
      <c r="J61" s="1"/>
      <c r="K61" s="1"/>
      <c r="L61" s="1"/>
    </row>
    <row r="62" spans="3:12" hidden="1" x14ac:dyDescent="0.25">
      <c r="C62" s="1"/>
      <c r="D62" s="10"/>
      <c r="E62" s="14"/>
      <c r="F62" s="1"/>
      <c r="G62" s="1"/>
      <c r="H62" s="1"/>
      <c r="I62" s="1"/>
      <c r="J62" s="1"/>
      <c r="K62" s="1"/>
      <c r="L62" s="1"/>
    </row>
    <row r="63" spans="3:12" hidden="1" x14ac:dyDescent="0.25">
      <c r="C63" s="113" t="s">
        <v>38</v>
      </c>
      <c r="D63" s="114"/>
      <c r="E63" s="114"/>
      <c r="F63" s="114"/>
      <c r="G63" s="114"/>
      <c r="H63" s="114"/>
      <c r="I63" s="114"/>
      <c r="J63" s="114"/>
      <c r="K63" s="114"/>
      <c r="L63" s="115"/>
    </row>
    <row r="64" spans="3:12" hidden="1" x14ac:dyDescent="0.25">
      <c r="C64" s="1" t="s">
        <v>17</v>
      </c>
      <c r="D64" s="10" t="s">
        <v>34</v>
      </c>
      <c r="E64" s="14" t="s">
        <v>35</v>
      </c>
      <c r="F64" s="1" t="s">
        <v>26</v>
      </c>
      <c r="G64" s="1">
        <f>(80*6)</f>
        <v>480</v>
      </c>
      <c r="H64" s="1"/>
      <c r="I64" s="1"/>
      <c r="J64" s="1"/>
      <c r="K64" s="1">
        <v>162.16999999999999</v>
      </c>
      <c r="L64" s="1">
        <f>G64*(J64+K64)</f>
        <v>77841.599999999991</v>
      </c>
    </row>
    <row r="65" spans="3:13" hidden="1" x14ac:dyDescent="0.25">
      <c r="C65" s="1" t="s">
        <v>17</v>
      </c>
      <c r="D65" s="10" t="s">
        <v>36</v>
      </c>
      <c r="E65" s="14" t="s">
        <v>37</v>
      </c>
      <c r="F65" s="1" t="s">
        <v>26</v>
      </c>
      <c r="G65" s="1">
        <f>220*6</f>
        <v>1320</v>
      </c>
      <c r="H65" s="1"/>
      <c r="I65" s="1"/>
      <c r="J65" s="1"/>
      <c r="K65" s="1">
        <v>71.67</v>
      </c>
      <c r="L65" s="1">
        <f>G65*(J65+K65)</f>
        <v>94604.400000000009</v>
      </c>
    </row>
    <row r="66" spans="3:13" hidden="1" x14ac:dyDescent="0.25">
      <c r="C66" s="1" t="s">
        <v>17</v>
      </c>
      <c r="D66" s="10" t="s">
        <v>55</v>
      </c>
      <c r="E66" s="14" t="s">
        <v>56</v>
      </c>
      <c r="F66" s="1" t="s">
        <v>26</v>
      </c>
      <c r="G66" s="1">
        <f>220*6</f>
        <v>1320</v>
      </c>
      <c r="H66" s="1"/>
      <c r="I66" s="1"/>
      <c r="J66" s="1"/>
      <c r="K66" s="1">
        <v>59.45</v>
      </c>
      <c r="L66" s="1">
        <f>G66*(J66+K66)</f>
        <v>78474</v>
      </c>
    </row>
    <row r="67" spans="3:13" hidden="1" x14ac:dyDescent="0.25">
      <c r="C67" s="96"/>
      <c r="D67" s="97"/>
      <c r="E67" s="97"/>
      <c r="F67" s="97"/>
      <c r="G67" s="97"/>
      <c r="H67" s="97"/>
      <c r="I67" s="97"/>
      <c r="J67" s="97"/>
      <c r="K67" s="97"/>
      <c r="L67" s="98"/>
    </row>
    <row r="68" spans="3:13" hidden="1" x14ac:dyDescent="0.25">
      <c r="C68" s="99" t="s">
        <v>28</v>
      </c>
      <c r="D68" s="100"/>
      <c r="E68" s="100"/>
      <c r="F68" s="100"/>
      <c r="G68" s="100"/>
      <c r="H68" s="100"/>
      <c r="I68" s="100"/>
      <c r="J68" s="100"/>
      <c r="K68" s="112"/>
      <c r="L68" s="61">
        <f>SUM(L39:L66)</f>
        <v>2040651.9993276002</v>
      </c>
    </row>
    <row r="69" spans="3:13" hidden="1" x14ac:dyDescent="0.25">
      <c r="C69" s="121" t="s">
        <v>29</v>
      </c>
      <c r="D69" s="121"/>
      <c r="E69" s="121"/>
      <c r="F69" s="121"/>
      <c r="G69" s="121"/>
      <c r="H69" s="121"/>
      <c r="I69" s="121"/>
      <c r="J69" s="121"/>
      <c r="K69" s="4">
        <v>0.25</v>
      </c>
      <c r="L69" s="61">
        <f>L68*1.25</f>
        <v>2550814.9991595005</v>
      </c>
    </row>
    <row r="70" spans="3:13" hidden="1" x14ac:dyDescent="0.25"/>
    <row r="71" spans="3:13" x14ac:dyDescent="0.25">
      <c r="J71" s="122" t="s">
        <v>134</v>
      </c>
      <c r="K71" s="122"/>
      <c r="L71" s="66">
        <f>L29/1024</f>
        <v>1601.3288915421622</v>
      </c>
    </row>
    <row r="72" spans="3:13" hidden="1" x14ac:dyDescent="0.25">
      <c r="C72" s="123" t="s">
        <v>113</v>
      </c>
      <c r="D72" s="124"/>
      <c r="E72" s="124"/>
      <c r="F72" s="124"/>
      <c r="G72" s="124"/>
      <c r="H72" s="124"/>
      <c r="I72" s="124"/>
    </row>
    <row r="73" spans="3:13" hidden="1" x14ac:dyDescent="0.25">
      <c r="C73" s="64" t="s">
        <v>69</v>
      </c>
      <c r="D73" s="49" t="s">
        <v>70</v>
      </c>
      <c r="E73" s="63" t="s">
        <v>71</v>
      </c>
      <c r="F73" s="64" t="s">
        <v>5</v>
      </c>
      <c r="G73" s="64" t="s">
        <v>72</v>
      </c>
      <c r="H73" s="64" t="s">
        <v>73</v>
      </c>
      <c r="I73" s="64" t="s">
        <v>74</v>
      </c>
    </row>
    <row r="74" spans="3:13" ht="30" hidden="1" x14ac:dyDescent="0.25">
      <c r="C74" s="125" t="s">
        <v>45</v>
      </c>
      <c r="D74" s="125"/>
      <c r="E74" s="14" t="s">
        <v>75</v>
      </c>
      <c r="F74" s="1" t="s">
        <v>85</v>
      </c>
      <c r="G74" s="1" t="s">
        <v>81</v>
      </c>
      <c r="H74" s="1"/>
      <c r="I74" s="37">
        <f>SUM(I75:I78)</f>
        <v>179.4375</v>
      </c>
    </row>
    <row r="75" spans="3:13" hidden="1" x14ac:dyDescent="0.25">
      <c r="C75" s="1" t="s">
        <v>15</v>
      </c>
      <c r="D75" s="10" t="s">
        <v>76</v>
      </c>
      <c r="E75" s="14" t="s">
        <v>80</v>
      </c>
      <c r="F75" s="1" t="s">
        <v>26</v>
      </c>
      <c r="G75" s="1">
        <v>2</v>
      </c>
      <c r="H75" s="1">
        <v>27.16</v>
      </c>
      <c r="I75" s="1">
        <f>G75*H75</f>
        <v>54.32</v>
      </c>
    </row>
    <row r="76" spans="3:13" hidden="1" x14ac:dyDescent="0.25">
      <c r="C76" s="1" t="s">
        <v>15</v>
      </c>
      <c r="D76" s="10" t="s">
        <v>77</v>
      </c>
      <c r="E76" s="14" t="s">
        <v>82</v>
      </c>
      <c r="F76" s="1" t="s">
        <v>86</v>
      </c>
      <c r="G76" s="1">
        <v>1.55</v>
      </c>
      <c r="H76" s="1">
        <v>28.27</v>
      </c>
      <c r="I76" s="1">
        <f>G76*H76</f>
        <v>43.8185</v>
      </c>
    </row>
    <row r="77" spans="3:13" hidden="1" x14ac:dyDescent="0.25">
      <c r="C77" s="1" t="s">
        <v>15</v>
      </c>
      <c r="D77" s="10" t="s">
        <v>78</v>
      </c>
      <c r="E77" s="14" t="s">
        <v>83</v>
      </c>
      <c r="F77" s="1" t="s">
        <v>87</v>
      </c>
      <c r="G77" s="1">
        <v>0.45</v>
      </c>
      <c r="H77" s="1">
        <v>27.42</v>
      </c>
      <c r="I77" s="1">
        <f>G77*H77</f>
        <v>12.339</v>
      </c>
      <c r="M77" s="16"/>
    </row>
    <row r="78" spans="3:13" ht="45" hidden="1" x14ac:dyDescent="0.25">
      <c r="C78" s="1" t="s">
        <v>15</v>
      </c>
      <c r="D78" s="10" t="s">
        <v>79</v>
      </c>
      <c r="E78" s="14" t="s">
        <v>84</v>
      </c>
      <c r="F78" s="1" t="s">
        <v>86</v>
      </c>
      <c r="G78" s="1">
        <v>1</v>
      </c>
      <c r="H78" s="1">
        <v>68.959999999999994</v>
      </c>
      <c r="I78" s="1">
        <f>G78*H78</f>
        <v>68.959999999999994</v>
      </c>
      <c r="M78" s="16"/>
    </row>
    <row r="79" spans="3:13" hidden="1" x14ac:dyDescent="0.25">
      <c r="C79" s="38"/>
      <c r="D79" s="39"/>
      <c r="E79" s="58"/>
      <c r="F79" s="40"/>
      <c r="G79" s="40"/>
      <c r="H79" s="40"/>
      <c r="I79" s="41"/>
    </row>
    <row r="80" spans="3:13" hidden="1" x14ac:dyDescent="0.25">
      <c r="C80" s="42"/>
      <c r="D80" s="43"/>
      <c r="E80" s="59"/>
      <c r="F80" s="23"/>
      <c r="G80" s="23"/>
      <c r="H80" s="23"/>
      <c r="I80" s="44"/>
      <c r="M80" s="16"/>
    </row>
    <row r="81" spans="3:9" hidden="1" x14ac:dyDescent="0.25">
      <c r="C81" s="42"/>
      <c r="D81" s="43"/>
      <c r="E81" s="59"/>
      <c r="F81" s="23"/>
      <c r="G81" s="23"/>
      <c r="H81" s="23"/>
      <c r="I81" s="44"/>
    </row>
    <row r="82" spans="3:9" hidden="1" x14ac:dyDescent="0.25">
      <c r="C82" s="42"/>
      <c r="D82" s="43"/>
      <c r="E82" s="59"/>
      <c r="F82" s="23"/>
      <c r="G82" s="23"/>
      <c r="H82" s="23"/>
      <c r="I82" s="44"/>
    </row>
    <row r="83" spans="3:9" hidden="1" x14ac:dyDescent="0.25">
      <c r="C83" s="42"/>
      <c r="D83" s="43"/>
      <c r="E83" s="59"/>
      <c r="F83" s="23"/>
      <c r="G83" s="23"/>
      <c r="H83" s="23"/>
      <c r="I83" s="44"/>
    </row>
    <row r="84" spans="3:9" hidden="1" x14ac:dyDescent="0.25">
      <c r="C84" s="42"/>
      <c r="D84" s="43"/>
      <c r="E84" s="59"/>
      <c r="F84" s="23"/>
      <c r="G84" s="23"/>
      <c r="H84" s="23"/>
      <c r="I84" s="44"/>
    </row>
    <row r="85" spans="3:9" hidden="1" x14ac:dyDescent="0.25">
      <c r="C85" s="45"/>
      <c r="D85" s="46"/>
      <c r="E85" s="60"/>
      <c r="F85" s="47"/>
      <c r="G85" s="47"/>
      <c r="H85" s="47"/>
      <c r="I85" s="48"/>
    </row>
    <row r="86" spans="3:9" hidden="1" x14ac:dyDescent="0.25"/>
    <row r="87" spans="3:9" hidden="1" x14ac:dyDescent="0.25"/>
  </sheetData>
  <mergeCells count="22">
    <mergeCell ref="C69:J69"/>
    <mergeCell ref="J71:K71"/>
    <mergeCell ref="C72:I72"/>
    <mergeCell ref="C74:D74"/>
    <mergeCell ref="C48:L48"/>
    <mergeCell ref="C51:L51"/>
    <mergeCell ref="C58:L58"/>
    <mergeCell ref="C63:L63"/>
    <mergeCell ref="C67:L67"/>
    <mergeCell ref="C68:K68"/>
    <mergeCell ref="C41:L41"/>
    <mergeCell ref="B3:H4"/>
    <mergeCell ref="B5:H6"/>
    <mergeCell ref="B8:E8"/>
    <mergeCell ref="B14:C14"/>
    <mergeCell ref="B22:C22"/>
    <mergeCell ref="B24:C24"/>
    <mergeCell ref="C28:L28"/>
    <mergeCell ref="C29:K29"/>
    <mergeCell ref="C30:L30"/>
    <mergeCell ref="C36:L36"/>
    <mergeCell ref="C38:L3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2" fitToHeight="0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D4865-7623-4F1C-BEAD-C1F9C6960E5C}">
  <sheetPr>
    <pageSetUpPr fitToPage="1"/>
  </sheetPr>
  <dimension ref="B2:I79"/>
  <sheetViews>
    <sheetView tabSelected="1" zoomScaleNormal="100" workbookViewId="0">
      <selection activeCell="P10" sqref="P10"/>
    </sheetView>
  </sheetViews>
  <sheetFormatPr defaultRowHeight="15" x14ac:dyDescent="0.25"/>
  <cols>
    <col min="1" max="1" width="4.5703125" customWidth="1"/>
    <col min="2" max="2" width="14.7109375" bestFit="1" customWidth="1"/>
    <col min="3" max="3" width="10.28515625" bestFit="1" customWidth="1"/>
    <col min="4" max="4" width="95.42578125" style="75" customWidth="1"/>
    <col min="5" max="5" width="8.5703125" bestFit="1" customWidth="1"/>
    <col min="6" max="6" width="11.28515625" bestFit="1" customWidth="1"/>
    <col min="7" max="8" width="7.42578125" bestFit="1" customWidth="1"/>
  </cols>
  <sheetData>
    <row r="2" spans="2:8" ht="19.5" x14ac:dyDescent="0.3">
      <c r="B2" s="127" t="s">
        <v>255</v>
      </c>
      <c r="C2" s="128"/>
      <c r="D2" s="128"/>
      <c r="E2" s="128"/>
      <c r="F2" s="128"/>
      <c r="G2" s="128"/>
      <c r="H2" s="129"/>
    </row>
    <row r="3" spans="2:8" ht="25.5" x14ac:dyDescent="0.25">
      <c r="B3" s="76" t="s">
        <v>202</v>
      </c>
      <c r="C3" s="76" t="s">
        <v>203</v>
      </c>
      <c r="D3" s="77" t="s">
        <v>71</v>
      </c>
      <c r="E3" s="76" t="s">
        <v>204</v>
      </c>
      <c r="F3" s="76" t="s">
        <v>205</v>
      </c>
      <c r="G3" s="76" t="s">
        <v>206</v>
      </c>
      <c r="H3" s="76" t="s">
        <v>207</v>
      </c>
    </row>
    <row r="4" spans="2:8" ht="30" x14ac:dyDescent="0.25">
      <c r="B4" s="83">
        <v>103689</v>
      </c>
      <c r="C4" s="83"/>
      <c r="D4" s="84" t="s">
        <v>68</v>
      </c>
      <c r="E4" s="83" t="s">
        <v>208</v>
      </c>
      <c r="F4" s="83"/>
      <c r="G4" s="83"/>
      <c r="H4" s="83">
        <v>470.89</v>
      </c>
    </row>
    <row r="5" spans="2:8" x14ac:dyDescent="0.25">
      <c r="B5" s="79" t="s">
        <v>209</v>
      </c>
      <c r="C5" s="79">
        <v>102234</v>
      </c>
      <c r="D5" s="80" t="s">
        <v>210</v>
      </c>
      <c r="E5" s="79" t="s">
        <v>208</v>
      </c>
      <c r="F5" s="79">
        <v>0.5</v>
      </c>
      <c r="G5" s="79">
        <v>25.42</v>
      </c>
      <c r="H5" s="79">
        <v>12.71</v>
      </c>
    </row>
    <row r="6" spans="2:8" x14ac:dyDescent="0.25">
      <c r="B6" s="79" t="s">
        <v>209</v>
      </c>
      <c r="C6" s="79">
        <v>88316</v>
      </c>
      <c r="D6" s="80" t="s">
        <v>80</v>
      </c>
      <c r="E6" s="79" t="s">
        <v>211</v>
      </c>
      <c r="F6" s="79">
        <v>1.1186</v>
      </c>
      <c r="G6" s="79">
        <v>29.77</v>
      </c>
      <c r="H6" s="79">
        <v>33.299999999999997</v>
      </c>
    </row>
    <row r="7" spans="2:8" x14ac:dyDescent="0.25">
      <c r="B7" s="79" t="s">
        <v>209</v>
      </c>
      <c r="C7" s="79">
        <v>88262</v>
      </c>
      <c r="D7" s="80" t="s">
        <v>212</v>
      </c>
      <c r="E7" s="79" t="s">
        <v>211</v>
      </c>
      <c r="F7" s="79">
        <v>0.37290000000000001</v>
      </c>
      <c r="G7" s="79">
        <v>33.619999999999997</v>
      </c>
      <c r="H7" s="79">
        <v>12.53</v>
      </c>
    </row>
    <row r="8" spans="2:8" x14ac:dyDescent="0.25">
      <c r="B8" s="79" t="s">
        <v>213</v>
      </c>
      <c r="C8" s="79">
        <v>5069</v>
      </c>
      <c r="D8" s="80" t="s">
        <v>214</v>
      </c>
      <c r="E8" s="79" t="s">
        <v>215</v>
      </c>
      <c r="F8" s="79">
        <v>1.32E-2</v>
      </c>
      <c r="G8" s="79">
        <v>12.44</v>
      </c>
      <c r="H8" s="79">
        <v>0.16</v>
      </c>
    </row>
    <row r="9" spans="2:8" x14ac:dyDescent="0.25">
      <c r="B9" s="79" t="s">
        <v>213</v>
      </c>
      <c r="C9" s="79">
        <v>5065</v>
      </c>
      <c r="D9" s="80" t="s">
        <v>216</v>
      </c>
      <c r="E9" s="79" t="s">
        <v>215</v>
      </c>
      <c r="F9" s="79">
        <v>1.1299999999999999E-2</v>
      </c>
      <c r="G9" s="79">
        <v>23.22</v>
      </c>
      <c r="H9" s="79">
        <v>0.26</v>
      </c>
    </row>
    <row r="10" spans="2:8" ht="30" x14ac:dyDescent="0.25">
      <c r="B10" s="79" t="s">
        <v>213</v>
      </c>
      <c r="C10" s="79">
        <v>4813</v>
      </c>
      <c r="D10" s="80" t="s">
        <v>217</v>
      </c>
      <c r="E10" s="79" t="s">
        <v>208</v>
      </c>
      <c r="F10" s="79">
        <v>1</v>
      </c>
      <c r="G10" s="79">
        <v>400</v>
      </c>
      <c r="H10" s="79">
        <v>400</v>
      </c>
    </row>
    <row r="11" spans="2:8" x14ac:dyDescent="0.25">
      <c r="B11" s="79" t="s">
        <v>213</v>
      </c>
      <c r="C11" s="79">
        <v>4509</v>
      </c>
      <c r="D11" s="80" t="s">
        <v>218</v>
      </c>
      <c r="E11" s="79" t="s">
        <v>219</v>
      </c>
      <c r="F11" s="79">
        <v>3.2082999999999999</v>
      </c>
      <c r="G11" s="79">
        <v>3.72</v>
      </c>
      <c r="H11" s="79">
        <v>11.93</v>
      </c>
    </row>
    <row r="12" spans="2:8" x14ac:dyDescent="0.25">
      <c r="B12" s="126"/>
      <c r="C12" s="126"/>
      <c r="D12" s="126"/>
      <c r="E12" s="126"/>
      <c r="F12" s="126"/>
      <c r="G12" s="126"/>
      <c r="H12" s="126"/>
    </row>
    <row r="13" spans="2:8" ht="45" x14ac:dyDescent="0.25">
      <c r="B13" s="85">
        <v>90084</v>
      </c>
      <c r="C13" s="85"/>
      <c r="D13" s="86" t="s">
        <v>220</v>
      </c>
      <c r="E13" s="85" t="s">
        <v>221</v>
      </c>
      <c r="F13" s="85"/>
      <c r="G13" s="85"/>
      <c r="H13" s="85">
        <v>10.17</v>
      </c>
    </row>
    <row r="14" spans="2:8" x14ac:dyDescent="0.25">
      <c r="B14" s="79" t="s">
        <v>209</v>
      </c>
      <c r="C14" s="79">
        <v>88316</v>
      </c>
      <c r="D14" s="80" t="s">
        <v>80</v>
      </c>
      <c r="E14" s="79" t="s">
        <v>211</v>
      </c>
      <c r="F14" s="79">
        <v>5.1124900000000001E-2</v>
      </c>
      <c r="G14" s="79">
        <v>29.77</v>
      </c>
      <c r="H14" s="79">
        <v>1.52</v>
      </c>
    </row>
    <row r="15" spans="2:8" ht="30" x14ac:dyDescent="0.25">
      <c r="B15" s="79" t="s">
        <v>209</v>
      </c>
      <c r="C15" s="79">
        <v>5632</v>
      </c>
      <c r="D15" s="80" t="s">
        <v>222</v>
      </c>
      <c r="E15" s="79" t="s">
        <v>223</v>
      </c>
      <c r="F15" s="79">
        <v>2.2526899999999999E-2</v>
      </c>
      <c r="G15" s="79">
        <v>98.87</v>
      </c>
      <c r="H15" s="79">
        <v>2.2200000000000002</v>
      </c>
    </row>
    <row r="16" spans="2:8" ht="30" x14ac:dyDescent="0.25">
      <c r="B16" s="79" t="s">
        <v>209</v>
      </c>
      <c r="C16" s="79">
        <v>5631</v>
      </c>
      <c r="D16" s="80" t="s">
        <v>224</v>
      </c>
      <c r="E16" s="79" t="s">
        <v>12</v>
      </c>
      <c r="F16" s="79">
        <v>2.8597999999999998E-2</v>
      </c>
      <c r="G16" s="79">
        <v>225.14</v>
      </c>
      <c r="H16" s="79">
        <v>6.43</v>
      </c>
    </row>
    <row r="17" spans="2:8" x14ac:dyDescent="0.25">
      <c r="B17" s="130"/>
      <c r="C17" s="130"/>
      <c r="D17" s="130"/>
      <c r="E17" s="130"/>
      <c r="F17" s="130"/>
      <c r="G17" s="130"/>
      <c r="H17" s="130"/>
    </row>
    <row r="18" spans="2:8" ht="45" x14ac:dyDescent="0.25">
      <c r="B18" s="87">
        <v>100976</v>
      </c>
      <c r="C18" s="87"/>
      <c r="D18" s="88" t="s">
        <v>118</v>
      </c>
      <c r="E18" s="87" t="s">
        <v>221</v>
      </c>
      <c r="F18" s="87"/>
      <c r="G18" s="87"/>
      <c r="H18" s="87">
        <v>8.7899999999999991</v>
      </c>
    </row>
    <row r="19" spans="2:8" ht="45" x14ac:dyDescent="0.25">
      <c r="B19" s="79" t="s">
        <v>209</v>
      </c>
      <c r="C19" s="79">
        <v>89884</v>
      </c>
      <c r="D19" s="80" t="s">
        <v>225</v>
      </c>
      <c r="E19" s="79" t="s">
        <v>223</v>
      </c>
      <c r="F19" s="79">
        <v>9.4999999999999998E-3</v>
      </c>
      <c r="G19" s="79">
        <v>100.34</v>
      </c>
      <c r="H19" s="79">
        <v>0.95</v>
      </c>
    </row>
    <row r="20" spans="2:8" ht="45" x14ac:dyDescent="0.25">
      <c r="B20" s="79" t="s">
        <v>209</v>
      </c>
      <c r="C20" s="79">
        <v>89883</v>
      </c>
      <c r="D20" s="80" t="s">
        <v>226</v>
      </c>
      <c r="E20" s="79" t="s">
        <v>12</v>
      </c>
      <c r="F20" s="79">
        <v>1.5299999999999999E-2</v>
      </c>
      <c r="G20" s="79">
        <v>382.88</v>
      </c>
      <c r="H20" s="79">
        <v>5.85</v>
      </c>
    </row>
    <row r="21" spans="2:8" ht="30" x14ac:dyDescent="0.25">
      <c r="B21" s="79" t="s">
        <v>209</v>
      </c>
      <c r="C21" s="79">
        <v>5942</v>
      </c>
      <c r="D21" s="80" t="s">
        <v>227</v>
      </c>
      <c r="E21" s="79" t="s">
        <v>223</v>
      </c>
      <c r="F21" s="79">
        <v>7.4000000000000003E-3</v>
      </c>
      <c r="G21" s="79">
        <v>77.94</v>
      </c>
      <c r="H21" s="79">
        <v>0.56999999999999995</v>
      </c>
    </row>
    <row r="22" spans="2:8" ht="30" x14ac:dyDescent="0.25">
      <c r="B22" s="79" t="s">
        <v>209</v>
      </c>
      <c r="C22" s="79">
        <v>5940</v>
      </c>
      <c r="D22" s="80" t="s">
        <v>228</v>
      </c>
      <c r="E22" s="79" t="s">
        <v>12</v>
      </c>
      <c r="F22" s="79">
        <v>8.3000000000000001E-3</v>
      </c>
      <c r="G22" s="79">
        <v>171.85</v>
      </c>
      <c r="H22" s="79">
        <v>1.42</v>
      </c>
    </row>
    <row r="23" spans="2:8" x14ac:dyDescent="0.25">
      <c r="B23" s="130"/>
      <c r="C23" s="130"/>
      <c r="D23" s="130"/>
      <c r="E23" s="130"/>
      <c r="F23" s="130"/>
      <c r="G23" s="130"/>
      <c r="H23" s="130"/>
    </row>
    <row r="24" spans="2:8" ht="45" x14ac:dyDescent="0.25">
      <c r="B24" s="87">
        <v>89876</v>
      </c>
      <c r="C24" s="87"/>
      <c r="D24" s="88" t="s">
        <v>88</v>
      </c>
      <c r="E24" s="87" t="s">
        <v>12</v>
      </c>
      <c r="F24" s="87"/>
      <c r="G24" s="87"/>
      <c r="H24" s="87">
        <v>346.8</v>
      </c>
    </row>
    <row r="25" spans="2:8" ht="45" x14ac:dyDescent="0.25">
      <c r="B25" s="79" t="s">
        <v>209</v>
      </c>
      <c r="C25" s="79">
        <v>89874</v>
      </c>
      <c r="D25" s="80" t="s">
        <v>229</v>
      </c>
      <c r="E25" s="79" t="s">
        <v>211</v>
      </c>
      <c r="F25" s="79">
        <v>1</v>
      </c>
      <c r="G25" s="79">
        <v>182.71</v>
      </c>
      <c r="H25" s="79">
        <v>182.71</v>
      </c>
    </row>
    <row r="26" spans="2:8" ht="45" x14ac:dyDescent="0.25">
      <c r="B26" s="79" t="s">
        <v>209</v>
      </c>
      <c r="C26" s="79">
        <v>89873</v>
      </c>
      <c r="D26" s="80" t="s">
        <v>230</v>
      </c>
      <c r="E26" s="79" t="s">
        <v>211</v>
      </c>
      <c r="F26" s="79">
        <v>1</v>
      </c>
      <c r="G26" s="79">
        <v>67.61</v>
      </c>
      <c r="H26" s="79">
        <v>67.61</v>
      </c>
    </row>
    <row r="27" spans="2:8" ht="45" x14ac:dyDescent="0.25">
      <c r="B27" s="79" t="s">
        <v>209</v>
      </c>
      <c r="C27" s="79">
        <v>89872</v>
      </c>
      <c r="D27" s="80" t="s">
        <v>231</v>
      </c>
      <c r="E27" s="79" t="s">
        <v>211</v>
      </c>
      <c r="F27" s="79">
        <v>1</v>
      </c>
      <c r="G27" s="79">
        <v>5.61</v>
      </c>
      <c r="H27" s="79">
        <v>5.61</v>
      </c>
    </row>
    <row r="28" spans="2:8" ht="45" x14ac:dyDescent="0.25">
      <c r="B28" s="79" t="s">
        <v>209</v>
      </c>
      <c r="C28" s="79">
        <v>89871</v>
      </c>
      <c r="D28" s="80" t="s">
        <v>232</v>
      </c>
      <c r="E28" s="79" t="s">
        <v>211</v>
      </c>
      <c r="F28" s="79">
        <v>1</v>
      </c>
      <c r="G28" s="79">
        <v>13.88</v>
      </c>
      <c r="H28" s="79">
        <v>13.88</v>
      </c>
    </row>
    <row r="29" spans="2:8" ht="45" x14ac:dyDescent="0.25">
      <c r="B29" s="79" t="s">
        <v>209</v>
      </c>
      <c r="C29" s="79">
        <v>89870</v>
      </c>
      <c r="D29" s="80" t="s">
        <v>233</v>
      </c>
      <c r="E29" s="79" t="s">
        <v>211</v>
      </c>
      <c r="F29" s="79">
        <v>1</v>
      </c>
      <c r="G29" s="79">
        <v>39.6</v>
      </c>
      <c r="H29" s="79">
        <v>39.6</v>
      </c>
    </row>
    <row r="30" spans="2:8" x14ac:dyDescent="0.25">
      <c r="B30" s="79" t="s">
        <v>209</v>
      </c>
      <c r="C30" s="79">
        <v>88281</v>
      </c>
      <c r="D30" s="80" t="s">
        <v>234</v>
      </c>
      <c r="E30" s="79" t="s">
        <v>211</v>
      </c>
      <c r="F30" s="79">
        <v>1</v>
      </c>
      <c r="G30" s="79">
        <v>37.39</v>
      </c>
      <c r="H30" s="79">
        <v>37.39</v>
      </c>
    </row>
    <row r="31" spans="2:8" x14ac:dyDescent="0.25">
      <c r="B31" s="126"/>
      <c r="C31" s="126"/>
      <c r="D31" s="126"/>
      <c r="E31" s="126"/>
      <c r="F31" s="126"/>
      <c r="G31" s="126"/>
      <c r="H31" s="126"/>
    </row>
    <row r="32" spans="2:8" ht="30" x14ac:dyDescent="0.25">
      <c r="B32" s="87">
        <v>101617</v>
      </c>
      <c r="C32" s="87"/>
      <c r="D32" s="88" t="s">
        <v>163</v>
      </c>
      <c r="E32" s="87" t="s">
        <v>208</v>
      </c>
      <c r="F32" s="87"/>
      <c r="G32" s="87"/>
      <c r="H32" s="87">
        <v>4.09</v>
      </c>
    </row>
    <row r="33" spans="2:8" ht="30" x14ac:dyDescent="0.25">
      <c r="B33" s="79" t="s">
        <v>209</v>
      </c>
      <c r="C33" s="79">
        <v>91534</v>
      </c>
      <c r="D33" s="80" t="s">
        <v>235</v>
      </c>
      <c r="E33" s="79" t="s">
        <v>223</v>
      </c>
      <c r="F33" s="79">
        <v>1.6000000000000001E-3</v>
      </c>
      <c r="G33" s="79">
        <v>33.69</v>
      </c>
      <c r="H33" s="79">
        <v>0.05</v>
      </c>
    </row>
    <row r="34" spans="2:8" ht="30" x14ac:dyDescent="0.25">
      <c r="B34" s="79" t="s">
        <v>209</v>
      </c>
      <c r="C34" s="79">
        <v>91533</v>
      </c>
      <c r="D34" s="80" t="s">
        <v>236</v>
      </c>
      <c r="E34" s="79" t="s">
        <v>12</v>
      </c>
      <c r="F34" s="79">
        <v>1.6000000000000001E-3</v>
      </c>
      <c r="G34" s="79">
        <v>41.08</v>
      </c>
      <c r="H34" s="79">
        <v>0.06</v>
      </c>
    </row>
    <row r="35" spans="2:8" x14ac:dyDescent="0.25">
      <c r="B35" s="79" t="s">
        <v>209</v>
      </c>
      <c r="C35" s="79">
        <v>88316</v>
      </c>
      <c r="D35" s="80" t="s">
        <v>80</v>
      </c>
      <c r="E35" s="79" t="s">
        <v>211</v>
      </c>
      <c r="F35" s="79">
        <v>7.5999999999999998E-2</v>
      </c>
      <c r="G35" s="79">
        <v>29.77</v>
      </c>
      <c r="H35" s="79">
        <v>2.2599999999999998</v>
      </c>
    </row>
    <row r="36" spans="2:8" x14ac:dyDescent="0.25">
      <c r="B36" s="79" t="s">
        <v>209</v>
      </c>
      <c r="C36" s="79">
        <v>88309</v>
      </c>
      <c r="D36" s="80" t="s">
        <v>237</v>
      </c>
      <c r="E36" s="79" t="s">
        <v>211</v>
      </c>
      <c r="F36" s="79">
        <v>5.0700000000000002E-2</v>
      </c>
      <c r="G36" s="79">
        <v>34.08</v>
      </c>
      <c r="H36" s="79">
        <v>1.72</v>
      </c>
    </row>
    <row r="37" spans="2:8" x14ac:dyDescent="0.25">
      <c r="B37" s="126"/>
      <c r="C37" s="126"/>
      <c r="D37" s="126"/>
      <c r="E37" s="126"/>
      <c r="F37" s="126"/>
      <c r="G37" s="126"/>
      <c r="H37" s="126"/>
    </row>
    <row r="38" spans="2:8" ht="30" x14ac:dyDescent="0.25">
      <c r="B38" s="87">
        <v>97083</v>
      </c>
      <c r="C38" s="87"/>
      <c r="D38" s="88" t="s">
        <v>165</v>
      </c>
      <c r="E38" s="87" t="s">
        <v>208</v>
      </c>
      <c r="F38" s="87"/>
      <c r="G38" s="87"/>
      <c r="H38" s="87">
        <v>4.3600000000000003</v>
      </c>
    </row>
    <row r="39" spans="2:8" ht="30" x14ac:dyDescent="0.25">
      <c r="B39" s="79" t="s">
        <v>209</v>
      </c>
      <c r="C39" s="79">
        <v>95265</v>
      </c>
      <c r="D39" s="80" t="s">
        <v>238</v>
      </c>
      <c r="E39" s="79" t="s">
        <v>223</v>
      </c>
      <c r="F39" s="79">
        <v>4.2000000000000003E-2</v>
      </c>
      <c r="G39" s="79">
        <v>0.86</v>
      </c>
      <c r="H39" s="79">
        <v>0.03</v>
      </c>
    </row>
    <row r="40" spans="2:8" ht="30" x14ac:dyDescent="0.25">
      <c r="B40" s="79" t="s">
        <v>209</v>
      </c>
      <c r="C40" s="79">
        <v>95264</v>
      </c>
      <c r="D40" s="80" t="s">
        <v>239</v>
      </c>
      <c r="E40" s="79" t="s">
        <v>12</v>
      </c>
      <c r="F40" s="79">
        <v>2.5000000000000001E-2</v>
      </c>
      <c r="G40" s="79">
        <v>6.51</v>
      </c>
      <c r="H40" s="79">
        <v>0.16</v>
      </c>
    </row>
    <row r="41" spans="2:8" x14ac:dyDescent="0.25">
      <c r="B41" s="79" t="s">
        <v>209</v>
      </c>
      <c r="C41" s="79">
        <v>88316</v>
      </c>
      <c r="D41" s="80" t="s">
        <v>80</v>
      </c>
      <c r="E41" s="79" t="s">
        <v>211</v>
      </c>
      <c r="F41" s="79">
        <v>8.8999999999999996E-2</v>
      </c>
      <c r="G41" s="79">
        <v>29.77</v>
      </c>
      <c r="H41" s="79">
        <v>2.64</v>
      </c>
    </row>
    <row r="42" spans="2:8" x14ac:dyDescent="0.25">
      <c r="B42" s="79" t="s">
        <v>209</v>
      </c>
      <c r="C42" s="79">
        <v>88309</v>
      </c>
      <c r="D42" s="80" t="s">
        <v>237</v>
      </c>
      <c r="E42" s="79" t="s">
        <v>211</v>
      </c>
      <c r="F42" s="79">
        <v>4.4999999999999998E-2</v>
      </c>
      <c r="G42" s="79">
        <v>34.08</v>
      </c>
      <c r="H42" s="79">
        <v>1.53</v>
      </c>
    </row>
    <row r="43" spans="2:8" x14ac:dyDescent="0.25">
      <c r="B43" s="126"/>
      <c r="C43" s="126"/>
      <c r="D43" s="126"/>
      <c r="E43" s="126"/>
      <c r="F43" s="126"/>
      <c r="G43" s="126"/>
      <c r="H43" s="126"/>
    </row>
    <row r="44" spans="2:8" ht="45" x14ac:dyDescent="0.25">
      <c r="B44" s="87">
        <v>90940</v>
      </c>
      <c r="C44" s="87"/>
      <c r="D44" s="88" t="s">
        <v>122</v>
      </c>
      <c r="E44" s="87" t="s">
        <v>208</v>
      </c>
      <c r="F44" s="87"/>
      <c r="G44" s="87"/>
      <c r="H44" s="87">
        <v>83.51</v>
      </c>
    </row>
    <row r="45" spans="2:8" x14ac:dyDescent="0.25">
      <c r="B45" s="79" t="s">
        <v>209</v>
      </c>
      <c r="C45" s="79">
        <v>88316</v>
      </c>
      <c r="D45" s="80" t="s">
        <v>80</v>
      </c>
      <c r="E45" s="79" t="s">
        <v>211</v>
      </c>
      <c r="F45" s="79">
        <v>0.251</v>
      </c>
      <c r="G45" s="79">
        <v>29.77</v>
      </c>
      <c r="H45" s="79">
        <v>7.47</v>
      </c>
    </row>
    <row r="46" spans="2:8" x14ac:dyDescent="0.25">
      <c r="B46" s="79" t="s">
        <v>209</v>
      </c>
      <c r="C46" s="79">
        <v>88309</v>
      </c>
      <c r="D46" s="80" t="s">
        <v>237</v>
      </c>
      <c r="E46" s="79" t="s">
        <v>211</v>
      </c>
      <c r="F46" s="79">
        <v>0.502</v>
      </c>
      <c r="G46" s="79">
        <v>34.08</v>
      </c>
      <c r="H46" s="79">
        <v>17.100000000000001</v>
      </c>
    </row>
    <row r="47" spans="2:8" ht="30" x14ac:dyDescent="0.25">
      <c r="B47" s="79" t="s">
        <v>209</v>
      </c>
      <c r="C47" s="79">
        <v>87301</v>
      </c>
      <c r="D47" s="80" t="s">
        <v>240</v>
      </c>
      <c r="E47" s="79" t="s">
        <v>221</v>
      </c>
      <c r="F47" s="79">
        <v>6.6100000000000006E-2</v>
      </c>
      <c r="G47" s="79">
        <v>524.99</v>
      </c>
      <c r="H47" s="79">
        <v>34.700000000000003</v>
      </c>
    </row>
    <row r="48" spans="2:8" x14ac:dyDescent="0.25">
      <c r="B48" s="79" t="s">
        <v>213</v>
      </c>
      <c r="C48" s="79">
        <v>38545</v>
      </c>
      <c r="D48" s="80" t="s">
        <v>241</v>
      </c>
      <c r="E48" s="79" t="s">
        <v>208</v>
      </c>
      <c r="F48" s="79">
        <v>1.4350000000000001</v>
      </c>
      <c r="G48" s="79">
        <v>6.67</v>
      </c>
      <c r="H48" s="79">
        <v>9.57</v>
      </c>
    </row>
    <row r="49" spans="2:8" x14ac:dyDescent="0.25">
      <c r="B49" s="79" t="s">
        <v>213</v>
      </c>
      <c r="C49" s="79">
        <v>10931</v>
      </c>
      <c r="D49" s="80" t="s">
        <v>242</v>
      </c>
      <c r="E49" s="79" t="s">
        <v>208</v>
      </c>
      <c r="F49" s="79">
        <v>1.143</v>
      </c>
      <c r="G49" s="79">
        <v>12.84</v>
      </c>
      <c r="H49" s="79">
        <v>14.67</v>
      </c>
    </row>
    <row r="50" spans="2:8" x14ac:dyDescent="0.25">
      <c r="B50" s="126"/>
      <c r="C50" s="126"/>
      <c r="D50" s="126"/>
      <c r="E50" s="126"/>
      <c r="F50" s="126"/>
      <c r="G50" s="126"/>
      <c r="H50" s="126"/>
    </row>
    <row r="51" spans="2:8" x14ac:dyDescent="0.25">
      <c r="B51" s="87">
        <v>97114</v>
      </c>
      <c r="C51" s="87"/>
      <c r="D51" s="88" t="s">
        <v>124</v>
      </c>
      <c r="E51" s="87" t="s">
        <v>219</v>
      </c>
      <c r="F51" s="87"/>
      <c r="G51" s="87"/>
      <c r="H51" s="87">
        <v>0.49</v>
      </c>
    </row>
    <row r="52" spans="2:8" ht="45" x14ac:dyDescent="0.25">
      <c r="B52" s="79" t="s">
        <v>209</v>
      </c>
      <c r="C52" s="79">
        <v>91283</v>
      </c>
      <c r="D52" s="80" t="s">
        <v>243</v>
      </c>
      <c r="E52" s="79" t="s">
        <v>12</v>
      </c>
      <c r="F52" s="79">
        <v>2.3600000000000001E-3</v>
      </c>
      <c r="G52" s="79">
        <v>10.93</v>
      </c>
      <c r="H52" s="79">
        <v>0.02</v>
      </c>
    </row>
    <row r="53" spans="2:8" x14ac:dyDescent="0.25">
      <c r="B53" s="79" t="s">
        <v>209</v>
      </c>
      <c r="C53" s="79">
        <v>88316</v>
      </c>
      <c r="D53" s="80" t="s">
        <v>80</v>
      </c>
      <c r="E53" s="79" t="s">
        <v>211</v>
      </c>
      <c r="F53" s="79">
        <v>7.8600000000000007E-3</v>
      </c>
      <c r="G53" s="79">
        <v>29.77</v>
      </c>
      <c r="H53" s="79">
        <v>0.23</v>
      </c>
    </row>
    <row r="54" spans="2:8" x14ac:dyDescent="0.25">
      <c r="B54" s="79" t="s">
        <v>209</v>
      </c>
      <c r="C54" s="79">
        <v>88309</v>
      </c>
      <c r="D54" s="80" t="s">
        <v>237</v>
      </c>
      <c r="E54" s="79" t="s">
        <v>211</v>
      </c>
      <c r="F54" s="79">
        <v>7.1500000000000001E-3</v>
      </c>
      <c r="G54" s="79">
        <v>34.08</v>
      </c>
      <c r="H54" s="79">
        <v>0.24</v>
      </c>
    </row>
    <row r="55" spans="2:8" x14ac:dyDescent="0.25">
      <c r="B55" s="126"/>
      <c r="C55" s="126"/>
      <c r="D55" s="126"/>
      <c r="E55" s="126"/>
      <c r="F55" s="126"/>
      <c r="G55" s="126"/>
      <c r="H55" s="126"/>
    </row>
    <row r="56" spans="2:8" ht="45" x14ac:dyDescent="0.25">
      <c r="B56" s="87">
        <v>93368</v>
      </c>
      <c r="C56" s="87"/>
      <c r="D56" s="88" t="s">
        <v>126</v>
      </c>
      <c r="E56" s="87" t="s">
        <v>221</v>
      </c>
      <c r="F56" s="87"/>
      <c r="G56" s="87"/>
      <c r="H56" s="87">
        <v>22.28</v>
      </c>
    </row>
    <row r="57" spans="2:8" ht="30" x14ac:dyDescent="0.25">
      <c r="B57" s="79" t="s">
        <v>209</v>
      </c>
      <c r="C57" s="79">
        <v>91533</v>
      </c>
      <c r="D57" s="80" t="s">
        <v>236</v>
      </c>
      <c r="E57" s="79" t="s">
        <v>12</v>
      </c>
      <c r="F57" s="79">
        <v>0.1285</v>
      </c>
      <c r="G57" s="79">
        <v>41.08</v>
      </c>
      <c r="H57" s="79">
        <v>5.27</v>
      </c>
    </row>
    <row r="58" spans="2:8" x14ac:dyDescent="0.25">
      <c r="B58" s="79" t="s">
        <v>209</v>
      </c>
      <c r="C58" s="79">
        <v>88316</v>
      </c>
      <c r="D58" s="80" t="s">
        <v>80</v>
      </c>
      <c r="E58" s="79" t="s">
        <v>211</v>
      </c>
      <c r="F58" s="79">
        <v>5.0700000000000002E-2</v>
      </c>
      <c r="G58" s="79">
        <v>29.77</v>
      </c>
      <c r="H58" s="79">
        <v>1.5</v>
      </c>
    </row>
    <row r="59" spans="2:8" ht="45" x14ac:dyDescent="0.25">
      <c r="B59" s="79" t="s">
        <v>209</v>
      </c>
      <c r="C59" s="79">
        <v>5903</v>
      </c>
      <c r="D59" s="80" t="s">
        <v>244</v>
      </c>
      <c r="E59" s="79" t="s">
        <v>223</v>
      </c>
      <c r="F59" s="79">
        <v>5.9999999999999995E-4</v>
      </c>
      <c r="G59" s="79">
        <v>82.14</v>
      </c>
      <c r="H59" s="79">
        <v>0.04</v>
      </c>
    </row>
    <row r="60" spans="2:8" ht="45" x14ac:dyDescent="0.25">
      <c r="B60" s="79" t="s">
        <v>209</v>
      </c>
      <c r="C60" s="79">
        <v>5901</v>
      </c>
      <c r="D60" s="80" t="s">
        <v>245</v>
      </c>
      <c r="E60" s="79" t="s">
        <v>12</v>
      </c>
      <c r="F60" s="79">
        <v>5.4000000000000003E-3</v>
      </c>
      <c r="G60" s="79">
        <v>334.29</v>
      </c>
      <c r="H60" s="79">
        <v>1.8</v>
      </c>
    </row>
    <row r="61" spans="2:8" ht="30" x14ac:dyDescent="0.25">
      <c r="B61" s="79" t="s">
        <v>209</v>
      </c>
      <c r="C61" s="79">
        <v>5632</v>
      </c>
      <c r="D61" s="80" t="s">
        <v>222</v>
      </c>
      <c r="E61" s="79" t="s">
        <v>223</v>
      </c>
      <c r="F61" s="79">
        <v>5.3699999999999998E-2</v>
      </c>
      <c r="G61" s="79">
        <v>98.87</v>
      </c>
      <c r="H61" s="79">
        <v>5.3</v>
      </c>
    </row>
    <row r="62" spans="2:8" ht="30" x14ac:dyDescent="0.25">
      <c r="B62" s="79" t="s">
        <v>209</v>
      </c>
      <c r="C62" s="79">
        <v>5631</v>
      </c>
      <c r="D62" s="80" t="s">
        <v>224</v>
      </c>
      <c r="E62" s="79" t="s">
        <v>12</v>
      </c>
      <c r="F62" s="79">
        <v>3.7199999999999997E-2</v>
      </c>
      <c r="G62" s="79">
        <v>225.14</v>
      </c>
      <c r="H62" s="79">
        <v>8.3699999999999992</v>
      </c>
    </row>
    <row r="63" spans="2:8" x14ac:dyDescent="0.25">
      <c r="B63" s="126"/>
      <c r="C63" s="126"/>
      <c r="D63" s="126"/>
      <c r="E63" s="126"/>
      <c r="F63" s="126"/>
      <c r="G63" s="126"/>
      <c r="H63" s="126"/>
    </row>
    <row r="64" spans="2:8" x14ac:dyDescent="0.25">
      <c r="B64" s="87">
        <v>103946</v>
      </c>
      <c r="C64" s="87"/>
      <c r="D64" s="88" t="s">
        <v>145</v>
      </c>
      <c r="E64" s="87" t="s">
        <v>208</v>
      </c>
      <c r="F64" s="87"/>
      <c r="G64" s="87"/>
      <c r="H64" s="87">
        <v>22.87</v>
      </c>
    </row>
    <row r="65" spans="2:9" x14ac:dyDescent="0.25">
      <c r="B65" s="79" t="s">
        <v>209</v>
      </c>
      <c r="C65" s="79">
        <v>88441</v>
      </c>
      <c r="D65" s="80" t="s">
        <v>246</v>
      </c>
      <c r="E65" s="79" t="s">
        <v>211</v>
      </c>
      <c r="F65" s="79">
        <v>2.7699999999999999E-2</v>
      </c>
      <c r="G65" s="79">
        <v>31</v>
      </c>
      <c r="H65" s="79">
        <v>0.85</v>
      </c>
    </row>
    <row r="66" spans="2:9" x14ac:dyDescent="0.25">
      <c r="B66" s="79" t="s">
        <v>209</v>
      </c>
      <c r="C66" s="79">
        <v>88316</v>
      </c>
      <c r="D66" s="80" t="s">
        <v>80</v>
      </c>
      <c r="E66" s="79" t="s">
        <v>211</v>
      </c>
      <c r="F66" s="79">
        <v>0.1386</v>
      </c>
      <c r="G66" s="79">
        <v>29.77</v>
      </c>
      <c r="H66" s="79">
        <v>4.12</v>
      </c>
    </row>
    <row r="67" spans="2:9" x14ac:dyDescent="0.25">
      <c r="B67" s="79" t="s">
        <v>213</v>
      </c>
      <c r="C67" s="79">
        <v>3322</v>
      </c>
      <c r="D67" s="80" t="s">
        <v>247</v>
      </c>
      <c r="E67" s="79" t="s">
        <v>208</v>
      </c>
      <c r="F67" s="79">
        <v>1</v>
      </c>
      <c r="G67" s="79">
        <v>17.899999999999999</v>
      </c>
      <c r="H67" s="79">
        <v>17.899999999999999</v>
      </c>
    </row>
    <row r="68" spans="2:9" x14ac:dyDescent="0.25">
      <c r="B68" s="126"/>
      <c r="C68" s="126"/>
      <c r="D68" s="126"/>
      <c r="E68" s="126"/>
      <c r="F68" s="126"/>
      <c r="G68" s="126"/>
      <c r="H68" s="126"/>
    </row>
    <row r="69" spans="2:9" ht="15" customHeight="1" x14ac:dyDescent="0.25">
      <c r="B69" s="85" t="s">
        <v>249</v>
      </c>
      <c r="C69" s="89">
        <v>17004001</v>
      </c>
      <c r="D69" s="88" t="s">
        <v>67</v>
      </c>
      <c r="E69" s="88" t="s">
        <v>208</v>
      </c>
      <c r="F69" s="88"/>
      <c r="G69" s="88"/>
      <c r="H69" s="88">
        <v>14.46</v>
      </c>
    </row>
    <row r="70" spans="2:9" x14ac:dyDescent="0.25">
      <c r="B70" s="81"/>
      <c r="C70" s="80">
        <v>2099</v>
      </c>
      <c r="D70" s="80" t="s">
        <v>248</v>
      </c>
      <c r="E70" s="80" t="s">
        <v>211</v>
      </c>
      <c r="F70" s="80">
        <v>24.1</v>
      </c>
      <c r="G70" s="80">
        <v>0.6</v>
      </c>
      <c r="H70" s="80">
        <v>14.462400000000001</v>
      </c>
      <c r="I70" s="78"/>
    </row>
    <row r="71" spans="2:9" x14ac:dyDescent="0.25">
      <c r="B71" s="126"/>
      <c r="C71" s="126"/>
      <c r="D71" s="126"/>
      <c r="E71" s="126"/>
      <c r="F71" s="126"/>
      <c r="G71" s="126"/>
      <c r="H71" s="126"/>
    </row>
    <row r="72" spans="2:9" x14ac:dyDescent="0.25">
      <c r="B72" s="85" t="s">
        <v>249</v>
      </c>
      <c r="C72" s="87">
        <v>20003004</v>
      </c>
      <c r="D72" s="87" t="s">
        <v>250</v>
      </c>
      <c r="E72" s="87" t="s">
        <v>211</v>
      </c>
      <c r="F72" s="87"/>
      <c r="G72" s="87"/>
      <c r="H72" s="87">
        <v>179.29</v>
      </c>
    </row>
    <row r="73" spans="2:9" x14ac:dyDescent="0.25">
      <c r="B73" s="79"/>
      <c r="C73" s="80">
        <v>1125</v>
      </c>
      <c r="D73" s="79" t="s">
        <v>251</v>
      </c>
      <c r="E73" s="79" t="s">
        <v>211</v>
      </c>
      <c r="F73" s="79">
        <v>179.28</v>
      </c>
      <c r="G73" s="79">
        <v>1</v>
      </c>
      <c r="H73" s="79">
        <v>179.2851</v>
      </c>
    </row>
    <row r="74" spans="2:9" x14ac:dyDescent="0.25">
      <c r="B74" s="126"/>
      <c r="C74" s="126"/>
      <c r="D74" s="126"/>
      <c r="E74" s="126"/>
      <c r="F74" s="126"/>
      <c r="G74" s="126"/>
      <c r="H74" s="126"/>
    </row>
    <row r="75" spans="2:9" x14ac:dyDescent="0.25">
      <c r="B75" s="85" t="s">
        <v>253</v>
      </c>
      <c r="C75" s="87">
        <v>3051000</v>
      </c>
      <c r="D75" s="87" t="s">
        <v>64</v>
      </c>
      <c r="E75" s="87" t="s">
        <v>211</v>
      </c>
      <c r="F75" s="87"/>
      <c r="G75" s="87"/>
      <c r="H75" s="87">
        <v>70.5</v>
      </c>
    </row>
    <row r="76" spans="2:9" x14ac:dyDescent="0.25">
      <c r="B76" s="79"/>
      <c r="C76" s="80">
        <v>1131</v>
      </c>
      <c r="D76" s="79" t="s">
        <v>252</v>
      </c>
      <c r="E76" s="79" t="s">
        <v>211</v>
      </c>
      <c r="F76" s="79">
        <v>70.5</v>
      </c>
      <c r="G76" s="79">
        <v>1</v>
      </c>
      <c r="H76" s="79">
        <v>70.505799999999994</v>
      </c>
    </row>
    <row r="77" spans="2:9" x14ac:dyDescent="0.25">
      <c r="B77" s="126"/>
      <c r="C77" s="126"/>
      <c r="D77" s="126"/>
      <c r="E77" s="126"/>
      <c r="F77" s="126"/>
      <c r="G77" s="126"/>
      <c r="H77" s="126"/>
    </row>
    <row r="78" spans="2:9" x14ac:dyDescent="0.25">
      <c r="B78" s="85" t="s">
        <v>253</v>
      </c>
      <c r="C78" s="87">
        <v>12012000</v>
      </c>
      <c r="D78" s="87" t="s">
        <v>65</v>
      </c>
      <c r="E78" s="87" t="s">
        <v>211</v>
      </c>
      <c r="F78" s="87"/>
      <c r="G78" s="87"/>
      <c r="H78" s="87">
        <v>69.459999999999994</v>
      </c>
    </row>
    <row r="79" spans="2:9" x14ac:dyDescent="0.25">
      <c r="B79" s="79"/>
      <c r="C79" s="80">
        <v>2108</v>
      </c>
      <c r="D79" s="79" t="s">
        <v>254</v>
      </c>
      <c r="E79" s="79" t="s">
        <v>211</v>
      </c>
      <c r="F79" s="79">
        <v>69.459999999999994</v>
      </c>
      <c r="G79" s="79">
        <v>1</v>
      </c>
      <c r="H79" s="79">
        <v>69.462999999999994</v>
      </c>
    </row>
  </sheetData>
  <mergeCells count="14">
    <mergeCell ref="B74:H74"/>
    <mergeCell ref="B77:H77"/>
    <mergeCell ref="B63:H63"/>
    <mergeCell ref="B68:H68"/>
    <mergeCell ref="B71:H71"/>
    <mergeCell ref="B43:H43"/>
    <mergeCell ref="B50:H50"/>
    <mergeCell ref="B55:H55"/>
    <mergeCell ref="B2:H2"/>
    <mergeCell ref="B31:H31"/>
    <mergeCell ref="B17:H17"/>
    <mergeCell ref="B23:H23"/>
    <mergeCell ref="B12:H12"/>
    <mergeCell ref="B37:H37"/>
  </mergeCells>
  <pageMargins left="0.51181102362204722" right="0.51181102362204722" top="0.78740157480314965" bottom="0.78740157480314965" header="0.31496062992125984" footer="0.31496062992125984"/>
  <pageSetup paperSize="9" scale="87" fitToHeight="0" orientation="landscape" horizontalDpi="300" verticalDpi="300" r:id="rId1"/>
  <rowBreaks count="1" manualBreakCount="1">
    <brk id="42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SEPULTURAS sem material</vt:lpstr>
      <vt:lpstr>CRONOGRAMA FÍSICO-FINANCEIRO</vt:lpstr>
      <vt:lpstr>LOCULOS</vt:lpstr>
      <vt:lpstr>LOCULOS SEM ARDOSIA</vt:lpstr>
      <vt:lpstr>CPU</vt:lpstr>
      <vt:lpstr>CPU!Area_de_impressao</vt:lpstr>
      <vt:lpstr>'CRONOGRAMA FÍSICO-FINANCEIRO'!Area_de_impressao</vt:lpstr>
      <vt:lpstr>LOCULOS!Area_de_impressao</vt:lpstr>
      <vt:lpstr>'LOCULOS SEM ARDOSIA'!Area_de_impressao</vt:lpstr>
      <vt:lpstr>'SEPULTURAS sem material'!Area_de_impressao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 Bernardis</dc:creator>
  <cp:lastModifiedBy>setec7</cp:lastModifiedBy>
  <cp:lastPrinted>2025-06-06T12:29:22Z</cp:lastPrinted>
  <dcterms:created xsi:type="dcterms:W3CDTF">2023-06-22T18:26:19Z</dcterms:created>
  <dcterms:modified xsi:type="dcterms:W3CDTF">2025-06-06T12:30:54Z</dcterms:modified>
</cp:coreProperties>
</file>